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5" yWindow="90" windowWidth="9780" windowHeight="8475" tabRatio="819"/>
  </bookViews>
  <sheets>
    <sheet name="Listado de Items Arg" sheetId="56" r:id="rId1"/>
    <sheet name="Listado de Items Parag" sheetId="57" r:id="rId2"/>
    <sheet name="Coeficiente Resumen" sheetId="54" r:id="rId3"/>
    <sheet name="Mano de Obra" sheetId="7" r:id="rId4"/>
    <sheet name="Precios Básicos Materiales" sheetId="8" r:id="rId5"/>
    <sheet name="Costo Equipos" sheetId="9" r:id="rId6"/>
    <sheet name="Análisis Equipos" sheetId="10" r:id="rId7"/>
    <sheet name="1.1" sheetId="11" r:id="rId8"/>
    <sheet name="Exc" sheetId="24" state="hidden" r:id="rId9"/>
    <sheet name="1.2" sheetId="23" r:id="rId10"/>
    <sheet name="Geobolsas" sheetId="27" r:id="rId11"/>
    <sheet name="Geoceldas" sheetId="30" r:id="rId12"/>
    <sheet name="Geotextil" sheetId="29" r:id="rId13"/>
    <sheet name="Geotubos 1,5m2" sheetId="35" r:id="rId14"/>
    <sheet name="Geotubos 3m2" sheetId="32" r:id="rId15"/>
    <sheet name="3.1" sheetId="26" r:id="rId16"/>
    <sheet name="3.2" sheetId="25" r:id="rId17"/>
    <sheet name="AUX  AC Materiales" sheetId="17" r:id="rId18"/>
    <sheet name="AUX Suelo" sheetId="16" r:id="rId19"/>
    <sheet name="AUX Ejecución Hormigón" sheetId="18" state="hidden" r:id="rId20"/>
    <sheet name="Excavacion fundaciones" sheetId="22" state="hidden" r:id="rId21"/>
    <sheet name="AUX Dosaje Hormigón" sheetId="15" state="hidden" r:id="rId22"/>
    <sheet name="2.5" sheetId="21" state="hidden" r:id="rId23"/>
    <sheet name="2.6" sheetId="20" state="hidden" r:id="rId24"/>
    <sheet name="Cubierta flexible" sheetId="19" state="hidden" r:id="rId25"/>
    <sheet name="Colchonetas" sheetId="13" state="hidden" r:id="rId26"/>
    <sheet name="Hoja3" sheetId="42" r:id="rId27"/>
  </sheets>
  <definedNames>
    <definedName name="_xlnm.Print_Area" localSheetId="7">'1.1'!$B$1:$T$27</definedName>
    <definedName name="_xlnm.Print_Area" localSheetId="9">'1.2'!$B$1:$T$30</definedName>
    <definedName name="_xlnm.Print_Area" localSheetId="22">'2.5'!$B$1:$N$27</definedName>
    <definedName name="_xlnm.Print_Area" localSheetId="23">'2.6'!$B$1:$T$27</definedName>
    <definedName name="_xlnm.Print_Area" localSheetId="15">'3.1'!$B$1:$I$38</definedName>
    <definedName name="_xlnm.Print_Area" localSheetId="16">'3.2'!$B$1:$K$15</definedName>
    <definedName name="_xlnm.Print_Area" localSheetId="6">'Análisis Equipos'!$A$1:$E$14</definedName>
    <definedName name="_xlnm.Print_Area" localSheetId="17">'AUX  AC Materiales'!$A$1:$J$71</definedName>
    <definedName name="_xlnm.Print_Area" localSheetId="19">'AUX Ejecución Hormigón'!$B$1:$O$54</definedName>
    <definedName name="_xlnm.Print_Area" localSheetId="18">'AUX Suelo'!$B$1:$K$28</definedName>
    <definedName name="_xlnm.Print_Area" localSheetId="2">'Coeficiente Resumen'!$A$1:$H$28</definedName>
    <definedName name="_xlnm.Print_Area" localSheetId="25">Colchonetas!$B$1:$Q$28</definedName>
    <definedName name="_xlnm.Print_Area" localSheetId="5">'Costo Equipos'!$B$1:$N$29</definedName>
    <definedName name="_xlnm.Print_Area" localSheetId="24">'Cubierta flexible'!$B$1:$T$29</definedName>
    <definedName name="_xlnm.Print_Area" localSheetId="8">Exc!$B$1:$L$22</definedName>
    <definedName name="_xlnm.Print_Area" localSheetId="20">'Excavacion fundaciones'!$B$1:$L$54</definedName>
    <definedName name="_xlnm.Print_Area" localSheetId="10">Geobolsas!$B$1:$K$35</definedName>
    <definedName name="_xlnm.Print_Area" localSheetId="11">Geoceldas!$B$1:$K$35</definedName>
    <definedName name="_xlnm.Print_Area" localSheetId="12">Geotextil!$C$1:$T$24</definedName>
    <definedName name="_xlnm.Print_Area" localSheetId="13">'Geotubos 1,5m2'!$B$1:$K$41</definedName>
    <definedName name="_xlnm.Print_Area" localSheetId="14">'Geotubos 3m2'!$B$1:$K$41</definedName>
    <definedName name="_xlnm.Print_Area" localSheetId="0">'Listado de Items Arg'!$C$1:$H$26</definedName>
    <definedName name="_xlnm.Print_Area" localSheetId="1">'Listado de Items Parag'!$C$1:$H$26</definedName>
    <definedName name="_xlnm.Print_Area" localSheetId="3">'Mano de Obra'!$A$1:$O$48</definedName>
    <definedName name="_xlnm.Print_Area" localSheetId="4">'Precios Básicos Materiales'!$A$1:$G$19</definedName>
    <definedName name="_xlnm.Print_Titles" localSheetId="17">'AUX  AC Materiales'!$1:$5</definedName>
    <definedName name="_xlnm.Print_Titles" localSheetId="5">'Costo Equipos'!$1:$8</definedName>
    <definedName name="_xlnm.Print_Titles" localSheetId="20">'Excavacion fundaciones'!$1:$2</definedName>
  </definedNames>
  <calcPr calcId="125725"/>
</workbook>
</file>

<file path=xl/calcChain.xml><?xml version="1.0" encoding="utf-8"?>
<calcChain xmlns="http://schemas.openxmlformats.org/spreadsheetml/2006/main">
  <c r="D29" i="30"/>
  <c r="D28"/>
  <c r="H24" i="57"/>
  <c r="H23"/>
  <c r="H20"/>
  <c r="H19"/>
  <c r="H18"/>
  <c r="H16"/>
  <c r="H13"/>
  <c r="H12"/>
  <c r="G16" i="56"/>
  <c r="J29" i="30"/>
  <c r="G29"/>
  <c r="D18" i="8"/>
  <c r="G24" i="57" l="1"/>
  <c r="G25"/>
  <c r="G23"/>
  <c r="G13"/>
  <c r="G12"/>
  <c r="G25" i="56" l="1"/>
  <c r="H24"/>
  <c r="H23"/>
  <c r="H13"/>
  <c r="H12"/>
  <c r="G23" l="1"/>
  <c r="G13"/>
  <c r="G12"/>
  <c r="G24"/>
  <c r="D27" i="27" l="1"/>
  <c r="D35" i="32"/>
  <c r="D35" i="35"/>
  <c r="J34"/>
  <c r="D26" i="30"/>
  <c r="F67" i="17" l="1"/>
  <c r="I65"/>
  <c r="I68" s="1"/>
  <c r="I66" l="1"/>
  <c r="I67"/>
  <c r="I69" l="1"/>
  <c r="I70" s="1"/>
  <c r="G28" i="30" s="1"/>
  <c r="J28" s="1"/>
  <c r="J30" s="1"/>
  <c r="F59" i="17" l="1"/>
  <c r="D59"/>
  <c r="I59" s="1"/>
  <c r="D16" i="8"/>
  <c r="I58" i="17" s="1"/>
  <c r="D27" i="30"/>
  <c r="D14" i="25"/>
  <c r="D36" i="26"/>
  <c r="E40" i="32"/>
  <c r="E40" i="35"/>
  <c r="E23" i="29"/>
  <c r="D34" i="30"/>
  <c r="D34" i="27"/>
  <c r="D29" i="23"/>
  <c r="D26" i="11"/>
  <c r="G8" i="54"/>
  <c r="G9" s="1"/>
  <c r="I60" i="17" l="1"/>
  <c r="I61" s="1"/>
  <c r="G27" i="30" s="1"/>
  <c r="J27" s="1"/>
  <c r="G11" i="54"/>
  <c r="G10"/>
  <c r="G12" s="1"/>
  <c r="G15" l="1"/>
  <c r="G13"/>
  <c r="G16" s="1"/>
  <c r="D17" s="1"/>
  <c r="D19" s="1"/>
  <c r="G14"/>
  <c r="H29" i="26" l="1"/>
  <c r="F27" l="1"/>
  <c r="H27" s="1"/>
  <c r="F10" i="17" l="1"/>
  <c r="I10" s="1"/>
  <c r="D12" i="16" l="1"/>
  <c r="D11"/>
  <c r="D10"/>
  <c r="I8" i="17"/>
  <c r="I11" s="1"/>
  <c r="I9"/>
  <c r="D7" i="26"/>
  <c r="E8" i="32"/>
  <c r="E9"/>
  <c r="E7"/>
  <c r="E8" i="35"/>
  <c r="E9"/>
  <c r="E7"/>
  <c r="D8" i="30"/>
  <c r="D9"/>
  <c r="D7"/>
  <c r="D8" i="27"/>
  <c r="D9"/>
  <c r="D10"/>
  <c r="D7"/>
  <c r="D8" i="23"/>
  <c r="D9"/>
  <c r="D7"/>
  <c r="D8" i="11"/>
  <c r="D9"/>
  <c r="D10"/>
  <c r="D11"/>
  <c r="D12"/>
  <c r="D7"/>
  <c r="I12" i="17" l="1"/>
  <c r="I13" s="1"/>
  <c r="F32" i="35"/>
  <c r="K40"/>
  <c r="G41" s="1"/>
  <c r="H40"/>
  <c r="K38"/>
  <c r="D33"/>
  <c r="G24"/>
  <c r="F24"/>
  <c r="K19"/>
  <c r="C18"/>
  <c r="C17"/>
  <c r="C16"/>
  <c r="S10"/>
  <c r="S12" s="1"/>
  <c r="T9"/>
  <c r="C9"/>
  <c r="S8"/>
  <c r="R8"/>
  <c r="Q8"/>
  <c r="P8"/>
  <c r="M8"/>
  <c r="C8"/>
  <c r="T7"/>
  <c r="S7"/>
  <c r="S9" s="1"/>
  <c r="R7"/>
  <c r="R9" s="1"/>
  <c r="Q7"/>
  <c r="Q9" s="1"/>
  <c r="P7"/>
  <c r="P9" s="1"/>
  <c r="M7"/>
  <c r="E10"/>
  <c r="C7"/>
  <c r="F38" i="17"/>
  <c r="D38"/>
  <c r="D15" i="8"/>
  <c r="I37" i="17" s="1"/>
  <c r="I39" s="1"/>
  <c r="F52"/>
  <c r="D52"/>
  <c r="I52" s="1"/>
  <c r="D11" i="8"/>
  <c r="I51" i="17" s="1"/>
  <c r="I53" s="1"/>
  <c r="C12" i="11"/>
  <c r="I19" i="9"/>
  <c r="J19" s="1"/>
  <c r="M19"/>
  <c r="I10"/>
  <c r="J10" s="1"/>
  <c r="M10"/>
  <c r="C7" i="11"/>
  <c r="G26" i="30" l="1"/>
  <c r="G35" i="32"/>
  <c r="J35" s="1"/>
  <c r="G35" i="35"/>
  <c r="J35" s="1"/>
  <c r="G27" i="27"/>
  <c r="J27" s="1"/>
  <c r="I38" i="17"/>
  <c r="K19" i="9"/>
  <c r="K10"/>
  <c r="L10" s="1"/>
  <c r="N10" s="1"/>
  <c r="F7" i="11" s="1"/>
  <c r="T8" i="35"/>
  <c r="I40" i="17"/>
  <c r="F29" i="35" s="1"/>
  <c r="F30" s="1"/>
  <c r="G33" s="1"/>
  <c r="J33" s="1"/>
  <c r="I54" i="17"/>
  <c r="G29" i="27" s="1"/>
  <c r="J29" s="1"/>
  <c r="J36" i="35" l="1"/>
  <c r="L19" i="9"/>
  <c r="N19" s="1"/>
  <c r="F12" i="11" s="1"/>
  <c r="H12" s="1"/>
  <c r="D25" i="30"/>
  <c r="F45" i="17" l="1"/>
  <c r="F31"/>
  <c r="D13" i="8"/>
  <c r="F32" i="32"/>
  <c r="D10" i="8"/>
  <c r="F24" i="17"/>
  <c r="D45"/>
  <c r="I45" s="1"/>
  <c r="D31"/>
  <c r="D24"/>
  <c r="I17"/>
  <c r="H11" i="26"/>
  <c r="H7"/>
  <c r="C7"/>
  <c r="G38"/>
  <c r="E12"/>
  <c r="D20" l="1"/>
  <c r="H14"/>
  <c r="I24" i="17"/>
  <c r="H23" i="26"/>
  <c r="H17"/>
  <c r="D14"/>
  <c r="D23"/>
  <c r="H20"/>
  <c r="D17"/>
  <c r="I31" i="17"/>
  <c r="F31" i="26" l="1"/>
  <c r="H34"/>
  <c r="H31"/>
  <c r="I23" i="9"/>
  <c r="K23" s="1"/>
  <c r="M15"/>
  <c r="I15"/>
  <c r="J15" s="1"/>
  <c r="K19" i="32"/>
  <c r="C18"/>
  <c r="C17"/>
  <c r="C16"/>
  <c r="K30" i="27"/>
  <c r="C16" i="11"/>
  <c r="G8" i="27"/>
  <c r="G9"/>
  <c r="G10"/>
  <c r="G7"/>
  <c r="C8" i="32"/>
  <c r="C9"/>
  <c r="C7"/>
  <c r="M11" i="9"/>
  <c r="M12"/>
  <c r="M13"/>
  <c r="J14"/>
  <c r="K14"/>
  <c r="M14"/>
  <c r="J16"/>
  <c r="K16"/>
  <c r="M16"/>
  <c r="M17"/>
  <c r="M18"/>
  <c r="J20"/>
  <c r="K20"/>
  <c r="M20"/>
  <c r="M21"/>
  <c r="M22"/>
  <c r="J23"/>
  <c r="M23"/>
  <c r="J24"/>
  <c r="K24"/>
  <c r="M24"/>
  <c r="J25"/>
  <c r="K25"/>
  <c r="M25"/>
  <c r="J26"/>
  <c r="K26"/>
  <c r="M26"/>
  <c r="J27"/>
  <c r="K27"/>
  <c r="M27"/>
  <c r="J28"/>
  <c r="K28"/>
  <c r="M28"/>
  <c r="M29"/>
  <c r="M9"/>
  <c r="K40" i="32"/>
  <c r="G41" s="1"/>
  <c r="H40"/>
  <c r="K38"/>
  <c r="D33"/>
  <c r="G24"/>
  <c r="F24"/>
  <c r="T9"/>
  <c r="S8"/>
  <c r="R8"/>
  <c r="Q8"/>
  <c r="P8"/>
  <c r="M8"/>
  <c r="T7"/>
  <c r="S7"/>
  <c r="S9" s="1"/>
  <c r="R7"/>
  <c r="R9" s="1"/>
  <c r="Q7"/>
  <c r="Q9" s="1"/>
  <c r="P7"/>
  <c r="P9" s="1"/>
  <c r="M7"/>
  <c r="K34" i="30"/>
  <c r="F35" s="1"/>
  <c r="G34"/>
  <c r="H19"/>
  <c r="G19"/>
  <c r="C14"/>
  <c r="C13"/>
  <c r="T10"/>
  <c r="S9"/>
  <c r="R9"/>
  <c r="Q9"/>
  <c r="P9"/>
  <c r="M9"/>
  <c r="C9"/>
  <c r="G8"/>
  <c r="C8"/>
  <c r="T7"/>
  <c r="T11" s="1"/>
  <c r="S7"/>
  <c r="S10" s="1"/>
  <c r="R7"/>
  <c r="R10" s="1"/>
  <c r="Q7"/>
  <c r="Q10" s="1"/>
  <c r="P7"/>
  <c r="P10" s="1"/>
  <c r="S14" s="1"/>
  <c r="M7"/>
  <c r="G7"/>
  <c r="G9" s="1"/>
  <c r="C7"/>
  <c r="F36" i="26" l="1"/>
  <c r="H36" s="1"/>
  <c r="E38" s="1"/>
  <c r="S15" i="30"/>
  <c r="I30" i="17"/>
  <c r="K15" i="9"/>
  <c r="D10" i="30"/>
  <c r="L26" i="9"/>
  <c r="N26" s="1"/>
  <c r="F4" i="20" s="1"/>
  <c r="L23" i="9"/>
  <c r="N23" s="1"/>
  <c r="F8" i="27" s="1"/>
  <c r="L20" i="9"/>
  <c r="N20" s="1"/>
  <c r="L28"/>
  <c r="N28" s="1"/>
  <c r="L27"/>
  <c r="N27" s="1"/>
  <c r="L25"/>
  <c r="N25" s="1"/>
  <c r="F3" i="20" s="1"/>
  <c r="L24" i="9"/>
  <c r="N24" s="1"/>
  <c r="L16"/>
  <c r="N16" s="1"/>
  <c r="L14"/>
  <c r="N14" s="1"/>
  <c r="E10" i="32"/>
  <c r="S10"/>
  <c r="S12" s="1"/>
  <c r="T8"/>
  <c r="T9" i="30"/>
  <c r="F8" l="1"/>
  <c r="H8" s="1"/>
  <c r="G7" i="32"/>
  <c r="J7" s="1"/>
  <c r="G7" i="35"/>
  <c r="J7" s="1"/>
  <c r="F7" i="27"/>
  <c r="I32" i="17"/>
  <c r="I33" s="1"/>
  <c r="L15" i="9"/>
  <c r="N15" s="1"/>
  <c r="F10" i="11" l="1"/>
  <c r="F10" i="16"/>
  <c r="F9" i="30"/>
  <c r="H9" s="1"/>
  <c r="F29" i="32"/>
  <c r="F30" s="1"/>
  <c r="G33" s="1"/>
  <c r="J33" s="1"/>
  <c r="J36" s="1"/>
  <c r="J38" s="1"/>
  <c r="F4" i="13"/>
  <c r="F5" i="24"/>
  <c r="D12" i="8" l="1"/>
  <c r="D9"/>
  <c r="I23" i="17" s="1"/>
  <c r="F53" i="22"/>
  <c r="I29" i="9"/>
  <c r="I44" i="17" l="1"/>
  <c r="I25"/>
  <c r="I26" s="1"/>
  <c r="H18" i="29" s="1"/>
  <c r="I16" i="17"/>
  <c r="K29" i="9"/>
  <c r="J29"/>
  <c r="I22"/>
  <c r="I21"/>
  <c r="I18"/>
  <c r="I17"/>
  <c r="D26" i="20"/>
  <c r="D26" i="21"/>
  <c r="D28" i="19"/>
  <c r="D27" i="13"/>
  <c r="D21" i="24"/>
  <c r="I46" i="17" l="1"/>
  <c r="I47" s="1"/>
  <c r="I18"/>
  <c r="I19" s="1"/>
  <c r="G24" i="30" s="1"/>
  <c r="J24" s="1"/>
  <c r="L29" i="9"/>
  <c r="N29" s="1"/>
  <c r="F9" i="23" s="1"/>
  <c r="K18" i="9"/>
  <c r="J18"/>
  <c r="K21"/>
  <c r="J21"/>
  <c r="K17"/>
  <c r="J17"/>
  <c r="J22"/>
  <c r="K22"/>
  <c r="I59" i="7"/>
  <c r="I58"/>
  <c r="I57"/>
  <c r="I56"/>
  <c r="I55"/>
  <c r="I41"/>
  <c r="I43" s="1"/>
  <c r="H41"/>
  <c r="H44" s="1"/>
  <c r="G41"/>
  <c r="G43" s="1"/>
  <c r="F41"/>
  <c r="G22"/>
  <c r="E42" s="1"/>
  <c r="G28" i="27" l="1"/>
  <c r="J28" s="1"/>
  <c r="J30" s="1"/>
  <c r="F44" i="7"/>
  <c r="J41"/>
  <c r="L17" i="9"/>
  <c r="N17" s="1"/>
  <c r="L21"/>
  <c r="N21" s="1"/>
  <c r="L18"/>
  <c r="N18" s="1"/>
  <c r="F11" i="11" s="1"/>
  <c r="L22" i="9"/>
  <c r="N22" s="1"/>
  <c r="F43" i="7"/>
  <c r="H43"/>
  <c r="G44"/>
  <c r="I44"/>
  <c r="G42"/>
  <c r="G45" s="1"/>
  <c r="I42"/>
  <c r="F42"/>
  <c r="F45" s="1"/>
  <c r="H42"/>
  <c r="H45" s="1"/>
  <c r="F10" i="27" l="1"/>
  <c r="G9" i="32"/>
  <c r="J9" s="1"/>
  <c r="G9" i="35"/>
  <c r="J9" s="1"/>
  <c r="G8" i="32"/>
  <c r="J8" s="1"/>
  <c r="G8" i="35"/>
  <c r="J8" s="1"/>
  <c r="J10" s="1"/>
  <c r="F7" i="30"/>
  <c r="H7" s="1"/>
  <c r="H10" s="1"/>
  <c r="F9" i="27"/>
  <c r="F9" i="11"/>
  <c r="J44" i="7"/>
  <c r="J43"/>
  <c r="J42"/>
  <c r="J45" s="1"/>
  <c r="G46"/>
  <c r="G47" s="1"/>
  <c r="F17" i="11" s="1"/>
  <c r="H46" i="7"/>
  <c r="H47" s="1"/>
  <c r="H48" s="1"/>
  <c r="I45"/>
  <c r="F46"/>
  <c r="F47" s="1"/>
  <c r="J10" i="32" l="1"/>
  <c r="F17" i="35"/>
  <c r="H17" s="1"/>
  <c r="F17" i="32"/>
  <c r="H17" s="1"/>
  <c r="J46" i="7"/>
  <c r="J47" s="1"/>
  <c r="F16" i="35" s="1"/>
  <c r="H16" s="1"/>
  <c r="F48" i="7"/>
  <c r="F8" i="20"/>
  <c r="G7" i="29"/>
  <c r="F8" i="13"/>
  <c r="F9" i="24"/>
  <c r="G48" i="7"/>
  <c r="F13" i="30"/>
  <c r="H13" s="1"/>
  <c r="G11" i="22"/>
  <c r="G43"/>
  <c r="L42" i="18"/>
  <c r="F10" i="24"/>
  <c r="F9" i="20"/>
  <c r="F8" i="21"/>
  <c r="F9" i="19"/>
  <c r="L14" i="18"/>
  <c r="E17" i="16"/>
  <c r="F15" i="27"/>
  <c r="F9" i="13"/>
  <c r="F14" i="23"/>
  <c r="I46" i="7"/>
  <c r="J48" l="1"/>
  <c r="F16" i="32"/>
  <c r="H16" s="1"/>
  <c r="F14" i="27"/>
  <c r="F16" i="11"/>
  <c r="E16" i="16"/>
  <c r="F13" i="23"/>
  <c r="I47" i="7"/>
  <c r="F18" i="35" l="1"/>
  <c r="H18" s="1"/>
  <c r="J19" s="1"/>
  <c r="J21" s="1"/>
  <c r="D24" s="1"/>
  <c r="J24" s="1"/>
  <c r="F18" i="32"/>
  <c r="H18" s="1"/>
  <c r="J19" s="1"/>
  <c r="J21" s="1"/>
  <c r="D24" s="1"/>
  <c r="J24" s="1"/>
  <c r="F14" i="30"/>
  <c r="H14" s="1"/>
  <c r="H15" s="1"/>
  <c r="G44" i="22"/>
  <c r="G26"/>
  <c r="G12"/>
  <c r="F10" i="20"/>
  <c r="F9" i="21"/>
  <c r="F10" i="19"/>
  <c r="L15" i="18"/>
  <c r="E18" i="16"/>
  <c r="F16" i="27"/>
  <c r="F10" i="13"/>
  <c r="F15" i="23"/>
  <c r="F18" i="11"/>
  <c r="G8" i="29"/>
  <c r="L29" i="18"/>
  <c r="F11" i="24"/>
  <c r="I48" i="7"/>
  <c r="S17" i="30" l="1"/>
  <c r="S19" s="1"/>
  <c r="J17"/>
  <c r="E19" s="1"/>
  <c r="J19" s="1"/>
  <c r="K18" i="29"/>
  <c r="C18"/>
  <c r="L23"/>
  <c r="G24" s="1"/>
  <c r="H23"/>
  <c r="I13"/>
  <c r="H13"/>
  <c r="D8"/>
  <c r="D7"/>
  <c r="C7" i="27"/>
  <c r="B26"/>
  <c r="K32"/>
  <c r="C10"/>
  <c r="C8"/>
  <c r="C9"/>
  <c r="K34"/>
  <c r="F35" s="1"/>
  <c r="G34"/>
  <c r="H21"/>
  <c r="G21"/>
  <c r="C16"/>
  <c r="C15"/>
  <c r="C14"/>
  <c r="F8" i="25"/>
  <c r="H8" s="1"/>
  <c r="H9"/>
  <c r="H7"/>
  <c r="F15"/>
  <c r="T9"/>
  <c r="S8"/>
  <c r="R8"/>
  <c r="Q8"/>
  <c r="P8"/>
  <c r="M8"/>
  <c r="T7"/>
  <c r="T10" s="1"/>
  <c r="S7"/>
  <c r="S9" s="1"/>
  <c r="R7"/>
  <c r="R9" s="1"/>
  <c r="Q7"/>
  <c r="Q9" s="1"/>
  <c r="P7"/>
  <c r="P9" s="1"/>
  <c r="M7"/>
  <c r="S8" i="26"/>
  <c r="S7"/>
  <c r="S9" s="1"/>
  <c r="R7"/>
  <c r="R8" s="1"/>
  <c r="Q7"/>
  <c r="Q8" s="1"/>
  <c r="P7"/>
  <c r="P8" s="1"/>
  <c r="O7"/>
  <c r="O8" s="1"/>
  <c r="L7"/>
  <c r="C8" i="23"/>
  <c r="G8"/>
  <c r="C7"/>
  <c r="G7"/>
  <c r="G9"/>
  <c r="C4" i="24"/>
  <c r="D4"/>
  <c r="G4"/>
  <c r="K21"/>
  <c r="F22" s="1"/>
  <c r="G21"/>
  <c r="H16"/>
  <c r="G16"/>
  <c r="C11"/>
  <c r="C10"/>
  <c r="C9"/>
  <c r="T6"/>
  <c r="S5"/>
  <c r="R5"/>
  <c r="Q5"/>
  <c r="P5"/>
  <c r="M5"/>
  <c r="D5"/>
  <c r="C5"/>
  <c r="T3"/>
  <c r="T7" s="1"/>
  <c r="S3"/>
  <c r="S6" s="1"/>
  <c r="R3"/>
  <c r="R6" s="1"/>
  <c r="Q3"/>
  <c r="Q6" s="1"/>
  <c r="P3"/>
  <c r="P6" s="1"/>
  <c r="M3"/>
  <c r="G3"/>
  <c r="G5" s="1"/>
  <c r="D3"/>
  <c r="C3"/>
  <c r="H10" i="25" l="1"/>
  <c r="K19" i="29"/>
  <c r="D11" i="27"/>
  <c r="D6" i="24"/>
  <c r="T8" i="25"/>
  <c r="T5" i="24"/>
  <c r="J12" i="25" l="1"/>
  <c r="F14" s="1"/>
  <c r="J14" s="1"/>
  <c r="K29" i="23"/>
  <c r="F30" s="1"/>
  <c r="G29"/>
  <c r="H20"/>
  <c r="G20"/>
  <c r="C15"/>
  <c r="C14"/>
  <c r="C13"/>
  <c r="T10"/>
  <c r="T11"/>
  <c r="S10"/>
  <c r="R10"/>
  <c r="Q10"/>
  <c r="P10"/>
  <c r="D23" i="19"/>
  <c r="D21"/>
  <c r="J22"/>
  <c r="C4"/>
  <c r="D4"/>
  <c r="G4"/>
  <c r="B20"/>
  <c r="B20" i="13"/>
  <c r="G20" i="19"/>
  <c r="J20" s="1"/>
  <c r="G20" i="13"/>
  <c r="J20" s="1"/>
  <c r="G21" i="21"/>
  <c r="J21" s="1"/>
  <c r="C9" i="11"/>
  <c r="G16" i="22"/>
  <c r="J45"/>
  <c r="D44"/>
  <c r="D43"/>
  <c r="F39"/>
  <c r="F37"/>
  <c r="D39"/>
  <c r="D37"/>
  <c r="F20"/>
  <c r="G30"/>
  <c r="J27"/>
  <c r="F23"/>
  <c r="D26"/>
  <c r="D23"/>
  <c r="J13"/>
  <c r="D12"/>
  <c r="D11"/>
  <c r="F7"/>
  <c r="F6"/>
  <c r="D7"/>
  <c r="D6"/>
  <c r="B20" i="20"/>
  <c r="C10"/>
  <c r="C9"/>
  <c r="B21"/>
  <c r="G21"/>
  <c r="J21" s="1"/>
  <c r="J5" i="21"/>
  <c r="B4"/>
  <c r="B21"/>
  <c r="B20"/>
  <c r="B19"/>
  <c r="K26" i="20"/>
  <c r="F27" s="1"/>
  <c r="G26"/>
  <c r="H15"/>
  <c r="G15"/>
  <c r="C8"/>
  <c r="T5"/>
  <c r="S4"/>
  <c r="R4"/>
  <c r="Q4"/>
  <c r="P4"/>
  <c r="M4"/>
  <c r="D4"/>
  <c r="C4"/>
  <c r="T3"/>
  <c r="T6" s="1"/>
  <c r="S3"/>
  <c r="S5" s="1"/>
  <c r="R3"/>
  <c r="R5" s="1"/>
  <c r="Q3"/>
  <c r="Q5" s="1"/>
  <c r="P3"/>
  <c r="P5" s="1"/>
  <c r="M3"/>
  <c r="G3"/>
  <c r="G4" s="1"/>
  <c r="D3"/>
  <c r="C3"/>
  <c r="K26" i="21"/>
  <c r="F27" s="1"/>
  <c r="G26"/>
  <c r="H14"/>
  <c r="G14"/>
  <c r="C9"/>
  <c r="C8"/>
  <c r="T5"/>
  <c r="C11" i="16"/>
  <c r="G12"/>
  <c r="F8" i="15"/>
  <c r="F17"/>
  <c r="F25"/>
  <c r="F34"/>
  <c r="J39" i="18"/>
  <c r="J38"/>
  <c r="F39"/>
  <c r="F38"/>
  <c r="J25"/>
  <c r="F25"/>
  <c r="J6"/>
  <c r="J7"/>
  <c r="J8"/>
  <c r="J9"/>
  <c r="J5"/>
  <c r="F9"/>
  <c r="F7"/>
  <c r="F8"/>
  <c r="F6"/>
  <c r="F5"/>
  <c r="K28" i="19"/>
  <c r="F29" s="1"/>
  <c r="G28"/>
  <c r="H15"/>
  <c r="G15"/>
  <c r="C10"/>
  <c r="C9"/>
  <c r="T6"/>
  <c r="S5"/>
  <c r="R5"/>
  <c r="Q5"/>
  <c r="P5"/>
  <c r="M5"/>
  <c r="D5"/>
  <c r="C5"/>
  <c r="T3"/>
  <c r="T7" s="1"/>
  <c r="S3"/>
  <c r="S6" s="1"/>
  <c r="R3"/>
  <c r="R6" s="1"/>
  <c r="Q3"/>
  <c r="Q6" s="1"/>
  <c r="P3"/>
  <c r="P6" s="1"/>
  <c r="M3"/>
  <c r="G3"/>
  <c r="G5" s="1"/>
  <c r="D3"/>
  <c r="C3"/>
  <c r="C12" i="16"/>
  <c r="C10"/>
  <c r="I52" i="18"/>
  <c r="I53" s="1"/>
  <c r="I51"/>
  <c r="I50"/>
  <c r="H46"/>
  <c r="K47" s="1"/>
  <c r="E42"/>
  <c r="K33"/>
  <c r="E29"/>
  <c r="K20"/>
  <c r="E15"/>
  <c r="E14"/>
  <c r="K10"/>
  <c r="K27" i="16"/>
  <c r="G22"/>
  <c r="F22"/>
  <c r="C18"/>
  <c r="C17"/>
  <c r="C16"/>
  <c r="J34" i="15"/>
  <c r="C34"/>
  <c r="J32"/>
  <c r="C32"/>
  <c r="J31"/>
  <c r="C31"/>
  <c r="J30"/>
  <c r="J26"/>
  <c r="J35" s="1"/>
  <c r="I25"/>
  <c r="C17"/>
  <c r="C15"/>
  <c r="C14"/>
  <c r="C8"/>
  <c r="I8" s="1"/>
  <c r="C6"/>
  <c r="C5"/>
  <c r="K27" i="13"/>
  <c r="F28" s="1"/>
  <c r="G27"/>
  <c r="H15"/>
  <c r="G15"/>
  <c r="C10"/>
  <c r="C9"/>
  <c r="C8"/>
  <c r="T5"/>
  <c r="S4"/>
  <c r="R4"/>
  <c r="Q4"/>
  <c r="P4"/>
  <c r="M4"/>
  <c r="D4"/>
  <c r="C4"/>
  <c r="T3"/>
  <c r="T6" s="1"/>
  <c r="S3"/>
  <c r="S5" s="1"/>
  <c r="R3"/>
  <c r="R5" s="1"/>
  <c r="Q3"/>
  <c r="Q5" s="1"/>
  <c r="P3"/>
  <c r="P5" s="1"/>
  <c r="M3"/>
  <c r="G3"/>
  <c r="G4" s="1"/>
  <c r="D3"/>
  <c r="C3"/>
  <c r="I17" i="15" l="1"/>
  <c r="I34"/>
  <c r="D5" i="13"/>
  <c r="D5" i="20"/>
  <c r="D6" i="19"/>
  <c r="J10" i="18"/>
  <c r="T4" i="20"/>
  <c r="D13" i="16"/>
  <c r="T5" i="19"/>
  <c r="G20" i="21"/>
  <c r="J20" s="1"/>
  <c r="J33" i="15"/>
  <c r="T4" i="13"/>
  <c r="D13" i="11" l="1"/>
  <c r="C8"/>
  <c r="C10"/>
  <c r="C11"/>
  <c r="K26"/>
  <c r="F27" s="1"/>
  <c r="G26"/>
  <c r="H23"/>
  <c r="G23"/>
  <c r="C18"/>
  <c r="C17"/>
  <c r="S11"/>
  <c r="R11"/>
  <c r="Q11"/>
  <c r="P11"/>
  <c r="M11"/>
  <c r="S10"/>
  <c r="R10"/>
  <c r="Q10"/>
  <c r="P10"/>
  <c r="M10"/>
  <c r="S8"/>
  <c r="R8"/>
  <c r="R13" s="1"/>
  <c r="Q8"/>
  <c r="P8"/>
  <c r="P13" s="1"/>
  <c r="M8"/>
  <c r="G10"/>
  <c r="G11" s="1"/>
  <c r="G12" s="1"/>
  <c r="S13"/>
  <c r="Q13"/>
  <c r="I13" i="9"/>
  <c r="I12"/>
  <c r="I11"/>
  <c r="I9"/>
  <c r="J9" s="1"/>
  <c r="D7" i="8"/>
  <c r="K11" i="9" l="1"/>
  <c r="J11"/>
  <c r="K13"/>
  <c r="J13"/>
  <c r="J12"/>
  <c r="K12"/>
  <c r="K9"/>
  <c r="D10" i="23"/>
  <c r="C9"/>
  <c r="T10" i="11"/>
  <c r="T13"/>
  <c r="T11"/>
  <c r="J9" i="23"/>
  <c r="T8" i="11"/>
  <c r="T14" s="1"/>
  <c r="H39" i="22"/>
  <c r="K39" s="1"/>
  <c r="F4" i="19"/>
  <c r="H4" s="1"/>
  <c r="H5" i="24"/>
  <c r="H11" i="11"/>
  <c r="L7" i="18"/>
  <c r="M7" s="1"/>
  <c r="L8"/>
  <c r="M8" s="1"/>
  <c r="L39"/>
  <c r="M39" s="1"/>
  <c r="H3" i="20"/>
  <c r="H4"/>
  <c r="H7" i="27"/>
  <c r="L5" i="18"/>
  <c r="M5" s="1"/>
  <c r="F38" i="22" l="1"/>
  <c r="F40" s="1"/>
  <c r="D38"/>
  <c r="L13" i="9"/>
  <c r="N13" s="1"/>
  <c r="F11" i="16" s="1"/>
  <c r="L11" i="9"/>
  <c r="N11" s="1"/>
  <c r="L9"/>
  <c r="N9" s="1"/>
  <c r="L12"/>
  <c r="N12" s="1"/>
  <c r="H8" i="27"/>
  <c r="H38" i="22"/>
  <c r="K38" s="1"/>
  <c r="H9" i="27"/>
  <c r="L9" i="18"/>
  <c r="M9" s="1"/>
  <c r="H10" i="27"/>
  <c r="H9" i="11"/>
  <c r="H11" i="16"/>
  <c r="H6" i="22"/>
  <c r="K6" s="1"/>
  <c r="H23"/>
  <c r="K23" s="1"/>
  <c r="H37"/>
  <c r="K37" s="1"/>
  <c r="F5" i="19"/>
  <c r="H5" s="1"/>
  <c r="H7" i="22"/>
  <c r="K7" s="1"/>
  <c r="H5" i="20"/>
  <c r="F3" i="19"/>
  <c r="H3" s="1"/>
  <c r="L25" i="18"/>
  <c r="M25" s="1"/>
  <c r="L38"/>
  <c r="M38" s="1"/>
  <c r="L6"/>
  <c r="M6" s="1"/>
  <c r="H10" i="11"/>
  <c r="H10" i="16"/>
  <c r="H4" i="13"/>
  <c r="F8" i="23" l="1"/>
  <c r="F8" i="11"/>
  <c r="F7" i="23"/>
  <c r="F12" i="16"/>
  <c r="H12" s="1"/>
  <c r="F4" i="24"/>
  <c r="H4" s="1"/>
  <c r="H7" i="11"/>
  <c r="K40" i="22"/>
  <c r="J8" i="23"/>
  <c r="F3" i="24"/>
  <c r="H3" s="1"/>
  <c r="H8" i="11"/>
  <c r="J7" i="23"/>
  <c r="F3" i="13"/>
  <c r="H3" s="1"/>
  <c r="H5" s="1"/>
  <c r="M10" i="18"/>
  <c r="K8" i="22"/>
  <c r="H11" i="24"/>
  <c r="I8" i="29"/>
  <c r="H16" i="27"/>
  <c r="H10" i="20"/>
  <c r="I26" i="22"/>
  <c r="I27" s="1"/>
  <c r="I12"/>
  <c r="H10" i="13"/>
  <c r="M29" i="18"/>
  <c r="H10" i="19"/>
  <c r="J15" i="23"/>
  <c r="I44" i="22"/>
  <c r="M15" i="18"/>
  <c r="H9" i="21"/>
  <c r="G18" i="16"/>
  <c r="H18" i="11"/>
  <c r="M31" i="18"/>
  <c r="H33" s="1"/>
  <c r="M33" s="1"/>
  <c r="H51" s="1"/>
  <c r="K28" i="22"/>
  <c r="E30" s="1"/>
  <c r="K30" s="1"/>
  <c r="K32" s="1"/>
  <c r="H10" i="24"/>
  <c r="H15" i="27"/>
  <c r="H9" i="13"/>
  <c r="M14" i="18"/>
  <c r="H9" i="19"/>
  <c r="H11" s="1"/>
  <c r="G17" i="16"/>
  <c r="I11" i="22"/>
  <c r="I13" s="1"/>
  <c r="K14" s="1"/>
  <c r="E16" s="1"/>
  <c r="K16" s="1"/>
  <c r="K18" s="1"/>
  <c r="I43"/>
  <c r="I45" s="1"/>
  <c r="M42" i="18"/>
  <c r="M43" s="1"/>
  <c r="H8" i="21"/>
  <c r="H10" s="1"/>
  <c r="H9" i="20"/>
  <c r="J14" i="23"/>
  <c r="H17" i="11"/>
  <c r="I7" i="29"/>
  <c r="H9" i="24"/>
  <c r="H8" i="13"/>
  <c r="H8" i="20"/>
  <c r="H11" s="1"/>
  <c r="H6" i="24"/>
  <c r="H11" i="27"/>
  <c r="H6" i="19"/>
  <c r="J13" i="16"/>
  <c r="J10" i="23" l="1"/>
  <c r="H13" i="11"/>
  <c r="M45" i="18"/>
  <c r="H47" s="1"/>
  <c r="M47" s="1"/>
  <c r="H52" s="1"/>
  <c r="K46" i="22"/>
  <c r="E48" s="1"/>
  <c r="K48" s="1"/>
  <c r="K50" s="1"/>
  <c r="I9" i="29"/>
  <c r="M16" i="18"/>
  <c r="M18" s="1"/>
  <c r="H20" s="1"/>
  <c r="M20" s="1"/>
  <c r="H50" s="1"/>
  <c r="H53" s="1"/>
  <c r="F4" i="21" s="1"/>
  <c r="H4" s="1"/>
  <c r="H5" s="1"/>
  <c r="J13" i="19"/>
  <c r="E15" s="1"/>
  <c r="J15" s="1"/>
  <c r="H11" i="13"/>
  <c r="J13" s="1"/>
  <c r="E15" s="1"/>
  <c r="J15" s="1"/>
  <c r="H12" i="24"/>
  <c r="K52" i="22"/>
  <c r="H53" s="1"/>
  <c r="K53" s="1"/>
  <c r="F54" s="1"/>
  <c r="J12" i="21"/>
  <c r="E14" s="1"/>
  <c r="J14" s="1"/>
  <c r="K11" i="29"/>
  <c r="F13" s="1"/>
  <c r="K13" s="1"/>
  <c r="K21" s="1"/>
  <c r="G23" s="1"/>
  <c r="G20" i="20"/>
  <c r="J20" s="1"/>
  <c r="J22" s="1"/>
  <c r="J14" i="24"/>
  <c r="E16" s="1"/>
  <c r="J16" s="1"/>
  <c r="J19" s="1"/>
  <c r="F21" s="1"/>
  <c r="J13" i="20"/>
  <c r="E15" s="1"/>
  <c r="J15" s="1"/>
  <c r="T9" i="29"/>
  <c r="D15" i="25"/>
  <c r="S13" i="20"/>
  <c r="S14" i="24"/>
  <c r="T11" i="29" l="1"/>
  <c r="T13" s="1"/>
  <c r="S19" i="11"/>
  <c r="S17"/>
  <c r="S9" i="13"/>
  <c r="S11"/>
  <c r="S11" i="19"/>
  <c r="S10"/>
  <c r="S14" i="23"/>
  <c r="S16"/>
  <c r="R11" i="26"/>
  <c r="R13" s="1"/>
  <c r="H14" i="27"/>
  <c r="H17" s="1"/>
  <c r="J13" i="23"/>
  <c r="J16" s="1"/>
  <c r="G16" i="16"/>
  <c r="J18" s="1"/>
  <c r="J19" s="1"/>
  <c r="D22" s="1"/>
  <c r="J22" s="1"/>
  <c r="J27" s="1"/>
  <c r="G34" i="35" s="1"/>
  <c r="J38" s="1"/>
  <c r="G40" s="1"/>
  <c r="J40" s="1"/>
  <c r="E41" s="1"/>
  <c r="H16" i="11"/>
  <c r="H19" s="1"/>
  <c r="J21" s="1"/>
  <c r="E23" s="1"/>
  <c r="J23" s="1"/>
  <c r="S10" i="20"/>
  <c r="S11"/>
  <c r="S9" i="21"/>
  <c r="S10"/>
  <c r="S12" i="24"/>
  <c r="S10"/>
  <c r="G23" i="19"/>
  <c r="J23" s="1"/>
  <c r="F14" i="15"/>
  <c r="I14" s="1"/>
  <c r="F5"/>
  <c r="I5" s="1"/>
  <c r="F23"/>
  <c r="I23" s="1"/>
  <c r="F31"/>
  <c r="I31" s="1"/>
  <c r="F32"/>
  <c r="I32" s="1"/>
  <c r="F15"/>
  <c r="I15" s="1"/>
  <c r="F6"/>
  <c r="I6" s="1"/>
  <c r="J26" i="30"/>
  <c r="S13" i="19"/>
  <c r="J24" i="20"/>
  <c r="F26" s="1"/>
  <c r="J26" s="1"/>
  <c r="D27" s="1"/>
  <c r="S13" i="13"/>
  <c r="J21" i="24"/>
  <c r="D22" s="1"/>
  <c r="K23" i="29"/>
  <c r="E24" s="1"/>
  <c r="S12" i="21"/>
  <c r="G22" i="13"/>
  <c r="J22" s="1"/>
  <c r="G19" i="57" l="1"/>
  <c r="H19" i="56"/>
  <c r="G18" i="57"/>
  <c r="H18" i="56"/>
  <c r="S16" i="24"/>
  <c r="S15" i="20"/>
  <c r="F24" i="23"/>
  <c r="J24" s="1"/>
  <c r="G34" i="32"/>
  <c r="J34" s="1"/>
  <c r="G40" s="1"/>
  <c r="J40" s="1"/>
  <c r="E41" s="1"/>
  <c r="G26" i="27"/>
  <c r="J26" s="1"/>
  <c r="G25" i="30"/>
  <c r="J25" s="1"/>
  <c r="S15" i="19"/>
  <c r="S15" i="13"/>
  <c r="G21"/>
  <c r="J21" s="1"/>
  <c r="J23" s="1"/>
  <c r="J25" s="1"/>
  <c r="F27" s="1"/>
  <c r="J27" s="1"/>
  <c r="D28" s="1"/>
  <c r="F16" i="15"/>
  <c r="I16" s="1"/>
  <c r="F24"/>
  <c r="I24" s="1"/>
  <c r="F33"/>
  <c r="I33" s="1"/>
  <c r="F7"/>
  <c r="I7" s="1"/>
  <c r="F30"/>
  <c r="I30" s="1"/>
  <c r="I35" s="1"/>
  <c r="F4"/>
  <c r="I4" s="1"/>
  <c r="F22"/>
  <c r="I22" s="1"/>
  <c r="F13"/>
  <c r="I13" s="1"/>
  <c r="J19" i="27"/>
  <c r="E21" s="1"/>
  <c r="J21" s="1"/>
  <c r="S21" i="11"/>
  <c r="S23" s="1"/>
  <c r="J24"/>
  <c r="F26" s="1"/>
  <c r="J26" s="1"/>
  <c r="D27" s="1"/>
  <c r="S18" i="23"/>
  <c r="S20" s="1"/>
  <c r="J18"/>
  <c r="E20" s="1"/>
  <c r="J20" s="1"/>
  <c r="S14" i="21"/>
  <c r="G20" i="57" l="1"/>
  <c r="H20" i="56"/>
  <c r="G18"/>
  <c r="G19"/>
  <c r="J27" i="23"/>
  <c r="F29" s="1"/>
  <c r="J29" s="1"/>
  <c r="D30" s="1"/>
  <c r="J32" i="30"/>
  <c r="F34" s="1"/>
  <c r="J34" s="1"/>
  <c r="D35" s="1"/>
  <c r="H17" i="57" s="1"/>
  <c r="I26" i="15"/>
  <c r="J32" i="27"/>
  <c r="F34" s="1"/>
  <c r="J34" s="1"/>
  <c r="D35" s="1"/>
  <c r="I18" i="15"/>
  <c r="I9"/>
  <c r="G16" i="57" l="1"/>
  <c r="H16" i="56"/>
  <c r="G20"/>
  <c r="G17" i="57"/>
  <c r="H17" i="56"/>
  <c r="G19" i="21"/>
  <c r="J19" s="1"/>
  <c r="J22" s="1"/>
  <c r="J24" s="1"/>
  <c r="F26" s="1"/>
  <c r="J26" s="1"/>
  <c r="D27" s="1"/>
  <c r="G21" i="19"/>
  <c r="J21" s="1"/>
  <c r="J24" s="1"/>
  <c r="J26" s="1"/>
  <c r="F28" s="1"/>
  <c r="J28" s="1"/>
  <c r="D29" s="1"/>
  <c r="G17" i="56" l="1"/>
</calcChain>
</file>

<file path=xl/comments1.xml><?xml version="1.0" encoding="utf-8"?>
<comments xmlns="http://schemas.openxmlformats.org/spreadsheetml/2006/main">
  <authors>
    <author>dibujante</author>
    <author>d-14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Coripa</t>
        </r>
      </text>
    </comment>
    <comment ref="D14" authorId="1">
      <text>
        <r>
          <rPr>
            <b/>
            <sz val="8"/>
            <color indexed="81"/>
            <rFont val="Tahoma"/>
            <family val="2"/>
          </rPr>
          <t>José García: valor tomado de revista vivienda enero 2009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José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11.xml><?xml version="1.0" encoding="utf-8"?>
<comments xmlns="http://schemas.openxmlformats.org/spreadsheetml/2006/main">
  <authors>
    <author>José García</author>
  </authors>
  <commentList>
    <comment ref="F8" authorId="0">
      <text>
        <r>
          <rPr>
            <b/>
            <sz val="8"/>
            <color indexed="81"/>
            <rFont val="Tahoma"/>
            <family val="2"/>
          </rPr>
          <t>José García:</t>
        </r>
        <r>
          <rPr>
            <sz val="8"/>
            <color indexed="81"/>
            <rFont val="Tahoma"/>
            <family val="2"/>
          </rPr>
          <t xml:space="preserve">
10 días al mes, 2 horas por día, 12 pesos por hora.</t>
        </r>
      </text>
    </comment>
    <comment ref="F9" authorId="0">
      <text>
        <r>
          <rPr>
            <b/>
            <sz val="8"/>
            <color indexed="81"/>
            <rFont val="Tahoma"/>
            <family val="2"/>
          </rPr>
          <t>José García:</t>
        </r>
        <r>
          <rPr>
            <sz val="8"/>
            <color indexed="81"/>
            <rFont val="Tahoma"/>
            <family val="2"/>
          </rPr>
          <t xml:space="preserve">
Energía eléctrica, agua, televisión satelital, internet.</t>
        </r>
      </text>
    </comment>
  </commentList>
</comments>
</file>

<file path=xl/comments12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13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14.xml><?xml version="1.0" encoding="utf-8"?>
<comments xmlns="http://schemas.openxmlformats.org/spreadsheetml/2006/main">
  <authors>
    <author>José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15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2.xml><?xml version="1.0" encoding="utf-8"?>
<comments xmlns="http://schemas.openxmlformats.org/spreadsheetml/2006/main">
  <authors>
    <author>José</author>
  </authors>
  <commentList>
    <comment ref="C6" authorId="0">
      <text>
        <r>
          <rPr>
            <b/>
            <sz val="8"/>
            <color indexed="81"/>
            <rFont val="Tahoma"/>
            <family val="2"/>
          </rPr>
          <t>Banco Nación Mayo 2012</t>
        </r>
      </text>
    </comment>
  </commentList>
</comments>
</file>

<file path=xl/comments3.xml><?xml version="1.0" encoding="utf-8"?>
<comments xmlns="http://schemas.openxmlformats.org/spreadsheetml/2006/main">
  <authors>
    <author>José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4.xml><?xml version="1.0" encoding="utf-8"?>
<comments xmlns="http://schemas.openxmlformats.org/spreadsheetml/2006/main">
  <authors>
    <author>José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5.xml><?xml version="1.0" encoding="utf-8"?>
<comments xmlns="http://schemas.openxmlformats.org/spreadsheetml/2006/main">
  <authors>
    <author>José</author>
  </authors>
  <commentList>
    <comment ref="A13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6.xml><?xml version="1.0" encoding="utf-8"?>
<comments xmlns="http://schemas.openxmlformats.org/spreadsheetml/2006/main">
  <authors>
    <author>José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7.xml><?xml version="1.0" encoding="utf-8"?>
<comments xmlns="http://schemas.openxmlformats.org/spreadsheetml/2006/main">
  <authors>
    <author>José</author>
  </authors>
  <commentList>
    <comment ref="A13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8.xml><?xml version="1.0" encoding="utf-8"?>
<comments xmlns="http://schemas.openxmlformats.org/spreadsheetml/2006/main">
  <authors>
    <author>José</author>
  </authors>
  <commentList>
    <comment ref="A7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9.xml><?xml version="1.0" encoding="utf-8"?>
<comments xmlns="http://schemas.openxmlformats.org/spreadsheetml/2006/main">
  <authors>
    <author>José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sharedStrings.xml><?xml version="1.0" encoding="utf-8"?>
<sst xmlns="http://schemas.openxmlformats.org/spreadsheetml/2006/main" count="1561" uniqueCount="415">
  <si>
    <t>Combustibles y Lubricantes</t>
  </si>
  <si>
    <t>Mano de Obra</t>
  </si>
  <si>
    <t>PRESUPUESTO</t>
  </si>
  <si>
    <t>Cálculo  Coeficiente de Resumen</t>
  </si>
  <si>
    <t xml:space="preserve">                          </t>
  </si>
  <si>
    <t>Costo  directo</t>
  </si>
  <si>
    <t>Gastos  Generales</t>
  </si>
  <si>
    <t>Gastos Financieros</t>
  </si>
  <si>
    <t>Beneficios</t>
  </si>
  <si>
    <t>I.V.A.</t>
  </si>
  <si>
    <t>Impuesto Ingresos Brutos</t>
  </si>
  <si>
    <t>Coeficiente resumen</t>
  </si>
  <si>
    <t>Adoptado:</t>
  </si>
  <si>
    <t>DETALLE DE MEJORAS SOCIALES Y JORNALES BÁSICOS</t>
  </si>
  <si>
    <t>1)</t>
  </si>
  <si>
    <t>Feriados pagos</t>
  </si>
  <si>
    <t>2)</t>
  </si>
  <si>
    <t>Vacaciones pagas</t>
  </si>
  <si>
    <t>3)</t>
  </si>
  <si>
    <t>Enfermedad inculpable</t>
  </si>
  <si>
    <t>4)</t>
  </si>
  <si>
    <t>Licencias especiales</t>
  </si>
  <si>
    <t>5)</t>
  </si>
  <si>
    <t>Indemnización por causas climáticas</t>
  </si>
  <si>
    <t>6)</t>
  </si>
  <si>
    <t>Asignacion para vestimenta</t>
  </si>
  <si>
    <t>7)</t>
  </si>
  <si>
    <t>Sueldo anual complementario</t>
  </si>
  <si>
    <t>8)</t>
  </si>
  <si>
    <t>Contribuciones patronales</t>
  </si>
  <si>
    <t>9)</t>
  </si>
  <si>
    <t>Indemnización por fallecimiento</t>
  </si>
  <si>
    <t>10)</t>
  </si>
  <si>
    <t>Aporte al Fondo de Cese Laboral</t>
  </si>
  <si>
    <t>11)</t>
  </si>
  <si>
    <t>Contribución al IERIC</t>
  </si>
  <si>
    <t>12)</t>
  </si>
  <si>
    <t>Contribución UOCRA</t>
  </si>
  <si>
    <t>13)</t>
  </si>
  <si>
    <t>Contribución al FODECO</t>
  </si>
  <si>
    <t>14)</t>
  </si>
  <si>
    <t>Asistencia perfecta</t>
  </si>
  <si>
    <t>15)</t>
  </si>
  <si>
    <t>Seguro de vida colectivo Obligatorio</t>
  </si>
  <si>
    <t>16)</t>
  </si>
  <si>
    <t>ART. Aseguradora de trabajo</t>
  </si>
  <si>
    <t>TOTAL</t>
  </si>
  <si>
    <t>JORNALES BASICOS DE LOS OBREROS DE LA CONSTRUCCION</t>
  </si>
  <si>
    <t>U.O.C.R.A.</t>
  </si>
  <si>
    <t>TABLA ZONA "A"</t>
  </si>
  <si>
    <t>Salario</t>
  </si>
  <si>
    <t>Categorías</t>
  </si>
  <si>
    <t>Básico</t>
  </si>
  <si>
    <t>Oficial</t>
  </si>
  <si>
    <t>Medio Oficial</t>
  </si>
  <si>
    <t>Ayudante</t>
  </si>
  <si>
    <t>Sereno</t>
  </si>
  <si>
    <t>15 % a OFICIAL ELECTRICISTA</t>
  </si>
  <si>
    <t>10 % a MEDIO OFICIAL</t>
  </si>
  <si>
    <t>10 % a OFICIAL YESERO</t>
  </si>
  <si>
    <t>15 % a OFICIAL CALEFACCIONISTA</t>
  </si>
  <si>
    <t xml:space="preserve">Aires, Mendoza, San Juan, Catamarca, Córdoba, Entre Ríos, Salta, Tucumán, Chaco, </t>
  </si>
  <si>
    <t>La Pampa, San Luis, Corrientes, La Rioja, Formosa, Jujuy y Misiones.</t>
  </si>
  <si>
    <t>Oficial especializado ($/día)</t>
  </si>
  <si>
    <t>Oficial ($/día)</t>
  </si>
  <si>
    <t>Medio Oficial ($/día)</t>
  </si>
  <si>
    <t>Ayudante ($/día)</t>
  </si>
  <si>
    <t>Sereno ($/mes)</t>
  </si>
  <si>
    <t>Oficial Especializado</t>
  </si>
  <si>
    <t>Maquinista</t>
  </si>
  <si>
    <t>Jornal Básico</t>
  </si>
  <si>
    <t>$/día</t>
  </si>
  <si>
    <t>Cargas Sociales</t>
  </si>
  <si>
    <t>Incidencia hs. extras</t>
  </si>
  <si>
    <t>Vigilancia</t>
  </si>
  <si>
    <t>Jornal de aplicación</t>
  </si>
  <si>
    <t>$/hora</t>
  </si>
  <si>
    <t xml:space="preserve">Precios Básicos de Materiales </t>
  </si>
  <si>
    <t>DESIGNACION</t>
  </si>
  <si>
    <t xml:space="preserve">VALOR   S/IVA </t>
  </si>
  <si>
    <t>UNIDAD</t>
  </si>
  <si>
    <t>Fecha</t>
  </si>
  <si>
    <t>Gas-oil</t>
  </si>
  <si>
    <t>$/l</t>
  </si>
  <si>
    <t>Cemento portland Normal a granel s/camión</t>
  </si>
  <si>
    <t>May.2000</t>
  </si>
  <si>
    <t>$/m</t>
  </si>
  <si>
    <t>$/u</t>
  </si>
  <si>
    <t>$/kg</t>
  </si>
  <si>
    <t>$/m²</t>
  </si>
  <si>
    <t>Agua</t>
  </si>
  <si>
    <t>$/m³</t>
  </si>
  <si>
    <t>Aditivo Incorporador</t>
  </si>
  <si>
    <t>$/Kg</t>
  </si>
  <si>
    <t>COSTOS DE AMORTIZACIÓN Y OPERACIÓN DE EQUIPOS</t>
  </si>
  <si>
    <t>Maquinas y Equipos pesados</t>
  </si>
  <si>
    <t>Potencia HP</t>
  </si>
  <si>
    <t>Precio en dolares</t>
  </si>
  <si>
    <t>Valor en pesos</t>
  </si>
  <si>
    <t xml:space="preserve">Reparaciones y repuestos </t>
  </si>
  <si>
    <t>Combustibles y lubricantes</t>
  </si>
  <si>
    <t>Costo diario $/d</t>
  </si>
  <si>
    <t>Motoniveladora Dynsai PY165H</t>
  </si>
  <si>
    <t>Retroexcavadora Hyundai R210-7</t>
  </si>
  <si>
    <t>Cargador frontal Hyundai, HL740-7 (2,1m³)</t>
  </si>
  <si>
    <t>Cargador frontal Hyundai, HL760-7 (3m³)</t>
  </si>
  <si>
    <t>Camión Grúa</t>
  </si>
  <si>
    <t>Camion Volcador 15 t</t>
  </si>
  <si>
    <t>Camioneta</t>
  </si>
  <si>
    <t>Herramientas menores</t>
  </si>
  <si>
    <t>Tractor s/neumáticos</t>
  </si>
  <si>
    <t>Grupo electrógeno 250kWa</t>
  </si>
  <si>
    <t>Silos para cemento</t>
  </si>
  <si>
    <t>Depósito de agua</t>
  </si>
  <si>
    <t>Grúa</t>
  </si>
  <si>
    <t>Vibrador de inmersión</t>
  </si>
  <si>
    <t>Cortadora de hierro motorizada</t>
  </si>
  <si>
    <t>Dobladora de barras de acero</t>
  </si>
  <si>
    <t>Cargador frontal CASE</t>
  </si>
  <si>
    <t>Hormigonera</t>
  </si>
  <si>
    <t>DETERMINACIÓN DEL COSTO DE AMORTIZACIÓN, OPERACIÓN DE EQUIPOS Y MAQUINARIAS</t>
  </si>
  <si>
    <t xml:space="preserve">Valor de dólar </t>
  </si>
  <si>
    <t>Valor Residual:</t>
  </si>
  <si>
    <t>Horas / día:</t>
  </si>
  <si>
    <t>hs</t>
  </si>
  <si>
    <t>Vida Útil:</t>
  </si>
  <si>
    <t>Tasa de interés anual:</t>
  </si>
  <si>
    <t>Costo del gasoil sin IVA:</t>
  </si>
  <si>
    <t>$/litro</t>
  </si>
  <si>
    <t>Consumo de combustible:</t>
  </si>
  <si>
    <t>litro/HP hora</t>
  </si>
  <si>
    <t>Reparaciones y Repuestos (s/amortización):</t>
  </si>
  <si>
    <t>Lubricantes (s/combustibles):</t>
  </si>
  <si>
    <t>I. Equipo</t>
  </si>
  <si>
    <t>Potencia</t>
  </si>
  <si>
    <t>Costo Unit.</t>
  </si>
  <si>
    <t>Costo Parc.</t>
  </si>
  <si>
    <t>Amortizacion</t>
  </si>
  <si>
    <t>Intereses</t>
  </si>
  <si>
    <t>Rep,y Repar</t>
  </si>
  <si>
    <t>comb.y Lubric</t>
  </si>
  <si>
    <t>Equipos</t>
  </si>
  <si>
    <t>HP</t>
  </si>
  <si>
    <t>$/d</t>
  </si>
  <si>
    <t>º</t>
  </si>
  <si>
    <t>II. Mano  de  Obra</t>
  </si>
  <si>
    <t>$/d  =</t>
  </si>
  <si>
    <t xml:space="preserve">Amortizacion,intereses, Reparaciones y repuestos </t>
  </si>
  <si>
    <t>Costo  Diario:</t>
  </si>
  <si>
    <t>Equipo+ Mano de obra</t>
  </si>
  <si>
    <t>Rendimiento:</t>
  </si>
  <si>
    <t>ha/d</t>
  </si>
  <si>
    <t>Materiales</t>
  </si>
  <si>
    <t>Costo por ha:</t>
  </si>
  <si>
    <t>$/d   /</t>
  </si>
  <si>
    <t>=</t>
  </si>
  <si>
    <t>$/ha</t>
  </si>
  <si>
    <t>Costo Neto</t>
  </si>
  <si>
    <t xml:space="preserve">Costo total item </t>
  </si>
  <si>
    <t>x</t>
  </si>
  <si>
    <t>ADOPTADO</t>
  </si>
  <si>
    <t>$/d =</t>
  </si>
  <si>
    <t>COSTO DIARIO</t>
  </si>
  <si>
    <t>m³/d</t>
  </si>
  <si>
    <t>COSTO POR m³</t>
  </si>
  <si>
    <t>III. Materiales</t>
  </si>
  <si>
    <t>Descripción</t>
  </si>
  <si>
    <t>Cantidad</t>
  </si>
  <si>
    <t>Total</t>
  </si>
  <si>
    <t>Arena natural</t>
  </si>
  <si>
    <t>t/m³</t>
  </si>
  <si>
    <t>$/t</t>
  </si>
  <si>
    <t>Piedra</t>
  </si>
  <si>
    <t>Costo por m³:</t>
  </si>
  <si>
    <t>2.2-Colchonetas de piedras, espesor =0,17 m</t>
  </si>
  <si>
    <t>m²/d</t>
  </si>
  <si>
    <t>m²/m²</t>
  </si>
  <si>
    <t>t/m²</t>
  </si>
  <si>
    <t>Costo por m²:</t>
  </si>
  <si>
    <t>COSTO UNITARIO NETO</t>
  </si>
  <si>
    <t>MATERIALES PARA LA ELABORACION DEL HORMIGON</t>
  </si>
  <si>
    <t>Hormigón H-21</t>
  </si>
  <si>
    <t>H-21</t>
  </si>
  <si>
    <t>Cemento Portland</t>
  </si>
  <si>
    <t xml:space="preserve">$/t  </t>
  </si>
  <si>
    <t>Agregado Grueso 6-19</t>
  </si>
  <si>
    <t>Agregado Grueso 0-6</t>
  </si>
  <si>
    <t>Arena</t>
  </si>
  <si>
    <t>m³/m³</t>
  </si>
  <si>
    <t>Hormigón H-17</t>
  </si>
  <si>
    <t>H-17</t>
  </si>
  <si>
    <t>Hormigón H-4</t>
  </si>
  <si>
    <t>H-4</t>
  </si>
  <si>
    <t>Agregado grueso</t>
  </si>
  <si>
    <t>Hormigón armado H-30 para calzada integral</t>
  </si>
  <si>
    <t>Provisión de suelo</t>
  </si>
  <si>
    <t>Excavación, Carga, Transporte y Descarga</t>
  </si>
  <si>
    <t>ANALISIS DE COSTO DE MATERIALES COMERCIALES</t>
  </si>
  <si>
    <t>Transporte a obra</t>
  </si>
  <si>
    <t>Descarga y Acopio</t>
  </si>
  <si>
    <t>$/h</t>
  </si>
  <si>
    <t>Desperdicios</t>
  </si>
  <si>
    <t>COSTO  UNITARIO</t>
  </si>
  <si>
    <t>h/tn  x</t>
  </si>
  <si>
    <t>Km   x</t>
  </si>
  <si>
    <t>$/t.Km =</t>
  </si>
  <si>
    <t>$/m3</t>
  </si>
  <si>
    <t>Manipuleo</t>
  </si>
  <si>
    <t>Elaboración, transporte y colocación de hormigón</t>
  </si>
  <si>
    <t>A)</t>
  </si>
  <si>
    <t>Elaboración del Hormigón</t>
  </si>
  <si>
    <t>Equipo</t>
  </si>
  <si>
    <t xml:space="preserve">Rendimiento </t>
  </si>
  <si>
    <t>COSTO UNITARIO</t>
  </si>
  <si>
    <t xml:space="preserve"> /</t>
  </si>
  <si>
    <t>m³/d =</t>
  </si>
  <si>
    <t>B)</t>
  </si>
  <si>
    <t>Transporte del hormigón</t>
  </si>
  <si>
    <t>m³/día</t>
  </si>
  <si>
    <t>m³/día =</t>
  </si>
  <si>
    <t>C)</t>
  </si>
  <si>
    <t>Colocación del hormigón</t>
  </si>
  <si>
    <t>TOTAL A+B+C =</t>
  </si>
  <si>
    <t>t/d</t>
  </si>
  <si>
    <t>kg/t</t>
  </si>
  <si>
    <t>t/t</t>
  </si>
  <si>
    <t>Obtención de suelo, ribera del río</t>
  </si>
  <si>
    <t>Encofrado</t>
  </si>
  <si>
    <t>COSTO TOTAL ITEM</t>
  </si>
  <si>
    <t>kg/m²</t>
  </si>
  <si>
    <t>Mano de obra</t>
  </si>
  <si>
    <t>Materiales+Mano de obra+Equipo</t>
  </si>
  <si>
    <t>EJECUCIÓN CON EQUIPO:</t>
  </si>
  <si>
    <t>Costo Unit</t>
  </si>
  <si>
    <t>Equipo+Mano de obra</t>
  </si>
  <si>
    <t>Total A)</t>
  </si>
  <si>
    <t>EXCAVACIÓN MANUAL</t>
  </si>
  <si>
    <t>Total B)</t>
  </si>
  <si>
    <t>RELLENO DE ZANJAS</t>
  </si>
  <si>
    <t>Total C)</t>
  </si>
  <si>
    <t>COSTO NETO</t>
  </si>
  <si>
    <t>85%A+15%B+25%C</t>
  </si>
  <si>
    <t>m³/m²</t>
  </si>
  <si>
    <t>Piedra para recubrimiento</t>
  </si>
  <si>
    <t>Moldes para hormigón</t>
  </si>
  <si>
    <t>u/m²</t>
  </si>
  <si>
    <t>Hormigón y premoldeo de bloques</t>
  </si>
  <si>
    <t>DEL ÍTEM</t>
  </si>
  <si>
    <t>3.2-Vivienda para la supervisión</t>
  </si>
  <si>
    <t>3.1-Movilidad para la supervisión</t>
  </si>
  <si>
    <t>I. Varios</t>
  </si>
  <si>
    <t>Alquiler</t>
  </si>
  <si>
    <t xml:space="preserve">Limpieza </t>
  </si>
  <si>
    <t>Servicios</t>
  </si>
  <si>
    <t>u/mes</t>
  </si>
  <si>
    <t>$/mes</t>
  </si>
  <si>
    <t>1.2-Excavación para fundaciones y desagües</t>
  </si>
  <si>
    <t>2.3-Geotextíl no tejido</t>
  </si>
  <si>
    <t>I. Mano  de  Obra</t>
  </si>
  <si>
    <t xml:space="preserve"> Mano de obra</t>
  </si>
  <si>
    <t>Geotextil no tejido 200 gramos</t>
  </si>
  <si>
    <t>Geotextil no tejido de 200 gramos</t>
  </si>
  <si>
    <t>2.2-Cubierta flexible, espesor =0,15 m</t>
  </si>
  <si>
    <t>Impuesto al cheque</t>
  </si>
  <si>
    <t>Of. Espec.</t>
  </si>
  <si>
    <t>por hora</t>
  </si>
  <si>
    <t>Med. Ofi.</t>
  </si>
  <si>
    <t>por mes</t>
  </si>
  <si>
    <r>
      <rPr>
        <b/>
        <sz val="11"/>
        <color theme="1"/>
        <rFont val="Calibri"/>
        <family val="2"/>
        <scheme val="minor"/>
      </rPr>
      <t>ZONA "A":</t>
    </r>
    <r>
      <rPr>
        <sz val="9"/>
        <rFont val="Verdana"/>
        <family val="2"/>
      </rPr>
      <t xml:space="preserve"> Ciudad Autónoma de Bs. As., Pcias. de Stgo. del Estero, Santa Fe, Buenos </t>
    </r>
  </si>
  <si>
    <t>A los salarios se le degen sumar el 20 % de asistencia</t>
  </si>
  <si>
    <t xml:space="preserve">   5 % a AYUDANTE</t>
  </si>
  <si>
    <t xml:space="preserve">   10 % a AYUDANTE</t>
  </si>
  <si>
    <t>Jornales vigentes de los trabajadores de la construcción aplicables a todas las categorías laborales de las escalas</t>
  </si>
  <si>
    <t>comprendidas en el convenio colectivo de trabajo Nº 76/75</t>
  </si>
  <si>
    <r>
      <t xml:space="preserve"> JORNALES DE MANO DE OBRA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(Mayo 2012)</t>
    </r>
  </si>
  <si>
    <t>Viaticos</t>
  </si>
  <si>
    <t>Subtotal</t>
  </si>
  <si>
    <t>Nota: Actualización Noviembre 2011</t>
  </si>
  <si>
    <t>http://www.uocra.org/escalas_salariales/leyesdecretosytablas.htm</t>
  </si>
  <si>
    <t>(Bco. Nación - Mayo)</t>
  </si>
  <si>
    <t>Valor DNV</t>
  </si>
  <si>
    <t>Camión tanque regador de agua</t>
  </si>
  <si>
    <r>
      <t>Geobolsas de 2m</t>
    </r>
    <r>
      <rPr>
        <vertAlign val="superscript"/>
        <sz val="10"/>
        <rFont val="Arial"/>
        <family val="2"/>
      </rPr>
      <t>3</t>
    </r>
  </si>
  <si>
    <t>Geocelda, e = 20 m</t>
  </si>
  <si>
    <t>Geocelda e = 0,20 m</t>
  </si>
  <si>
    <t>Cemento</t>
  </si>
  <si>
    <t>2.6-Acero para estructuras</t>
  </si>
  <si>
    <t xml:space="preserve">2.5-Hormigón armado H-21 para estructuras, excluída armadura </t>
  </si>
  <si>
    <t>Se considera que la zona de extracción está a una distancia entre 3 y 5 Km</t>
  </si>
  <si>
    <t>Para esa distancia se estima usar dos estaciones de rebombeo</t>
  </si>
  <si>
    <t>m3/d</t>
  </si>
  <si>
    <t>COSTO POR m3</t>
  </si>
  <si>
    <t>Perímetro utilizado</t>
  </si>
  <si>
    <t>m</t>
  </si>
  <si>
    <t>Longitud geotubo</t>
  </si>
  <si>
    <t>Precio por unidad</t>
  </si>
  <si>
    <t>$/un</t>
  </si>
  <si>
    <t>Precio por metro lineal</t>
  </si>
  <si>
    <t>Área transversal geotubo</t>
  </si>
  <si>
    <t>m2</t>
  </si>
  <si>
    <t>Relación Longitud sobre Volumen</t>
  </si>
  <si>
    <t>m/m3</t>
  </si>
  <si>
    <t>Amortización</t>
  </si>
  <si>
    <t>Geotubos</t>
  </si>
  <si>
    <t>Precio de la unidad</t>
  </si>
  <si>
    <t>Recorrido estimado</t>
  </si>
  <si>
    <t>km/mes</t>
  </si>
  <si>
    <t xml:space="preserve">Vida últil = </t>
  </si>
  <si>
    <t>km</t>
  </si>
  <si>
    <t>meses</t>
  </si>
  <si>
    <t>Amortización =</t>
  </si>
  <si>
    <t>Intereses =</t>
  </si>
  <si>
    <t>2 x 12</t>
  </si>
  <si>
    <t>meses/año</t>
  </si>
  <si>
    <t>Seguro =</t>
  </si>
  <si>
    <t>Patente =</t>
  </si>
  <si>
    <t>Costo total del item =</t>
  </si>
  <si>
    <t>Costo  Orígen (Buenos Aires)</t>
  </si>
  <si>
    <r>
      <t>$/m</t>
    </r>
    <r>
      <rPr>
        <vertAlign val="superscript"/>
        <sz val="10"/>
        <color theme="1"/>
        <rFont val="Arial"/>
        <family val="2"/>
      </rPr>
      <t>2</t>
    </r>
  </si>
  <si>
    <r>
      <t>$/m</t>
    </r>
    <r>
      <rPr>
        <b/>
        <vertAlign val="superscript"/>
        <sz val="10"/>
        <color theme="1"/>
        <rFont val="Arial"/>
        <family val="2"/>
      </rPr>
      <t>2</t>
    </r>
  </si>
  <si>
    <r>
      <t>Geobolsas de 2 m</t>
    </r>
    <r>
      <rPr>
        <b/>
        <u/>
        <vertAlign val="superscript"/>
        <sz val="10"/>
        <rFont val="Arial"/>
        <family val="2"/>
      </rPr>
      <t>3</t>
    </r>
  </si>
  <si>
    <r>
      <t>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.Km =</t>
    </r>
  </si>
  <si>
    <t>$/u.Km =</t>
  </si>
  <si>
    <t>1.2-Excavación y perfilado</t>
  </si>
  <si>
    <t>1.1-Desbosque y Destronque</t>
  </si>
  <si>
    <t>Provisión de Suelo</t>
  </si>
  <si>
    <t>$/m³ =</t>
  </si>
  <si>
    <t>Equipo + Mano de Obra + Materiales</t>
  </si>
  <si>
    <r>
      <t>Geobolsas de 1m</t>
    </r>
    <r>
      <rPr>
        <vertAlign val="superscript"/>
        <sz val="10"/>
        <rFont val="Arial"/>
        <family val="2"/>
      </rPr>
      <t>3</t>
    </r>
  </si>
  <si>
    <t>Motoniveladora con escarificador</t>
  </si>
  <si>
    <t>Tractor a orugas con topadora D6 (c/cabina)</t>
  </si>
  <si>
    <r>
      <t>Geobolsas de 2m</t>
    </r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x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>50%</t>
    </r>
  </si>
  <si>
    <r>
      <t>Geobolsas de 1m</t>
    </r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x 50%</t>
    </r>
  </si>
  <si>
    <r>
      <t>Geobolsas de 1 m</t>
    </r>
    <r>
      <rPr>
        <b/>
        <u/>
        <vertAlign val="superscript"/>
        <sz val="10"/>
        <rFont val="Arial"/>
        <family val="2"/>
      </rPr>
      <t>3</t>
    </r>
  </si>
  <si>
    <r>
      <t>Geotubo de 1,5 m</t>
    </r>
    <r>
      <rPr>
        <vertAlign val="superscript"/>
        <sz val="10"/>
        <rFont val="Arial"/>
        <family val="2"/>
      </rPr>
      <t>2</t>
    </r>
  </si>
  <si>
    <r>
      <t>Geotubo de 3 m</t>
    </r>
    <r>
      <rPr>
        <vertAlign val="superscript"/>
        <sz val="10"/>
        <rFont val="Arial"/>
        <family val="2"/>
      </rPr>
      <t>2</t>
    </r>
  </si>
  <si>
    <r>
      <t>Geotubos de 1,5 m</t>
    </r>
    <r>
      <rPr>
        <b/>
        <u/>
        <vertAlign val="superscript"/>
        <sz val="10"/>
        <rFont val="Arial"/>
        <family val="2"/>
      </rPr>
      <t>2</t>
    </r>
  </si>
  <si>
    <r>
      <t>Geotubos de 3 m</t>
    </r>
    <r>
      <rPr>
        <b/>
        <u/>
        <vertAlign val="superscript"/>
        <sz val="10"/>
        <rFont val="Arial"/>
        <family val="2"/>
      </rPr>
      <t>2</t>
    </r>
  </si>
  <si>
    <t>1.2-Ejecución de terraplén incluida tareas de excavación</t>
  </si>
  <si>
    <t>Costo  Orígen (Jujuy)</t>
  </si>
  <si>
    <t xml:space="preserve">Combustible = </t>
  </si>
  <si>
    <t xml:space="preserve">$/lts = </t>
  </si>
  <si>
    <t xml:space="preserve">Lubricantes = </t>
  </si>
  <si>
    <t xml:space="preserve">x </t>
  </si>
  <si>
    <t>$/km =</t>
  </si>
  <si>
    <t xml:space="preserve">Reparaciones y repuestos = </t>
  </si>
  <si>
    <t xml:space="preserve">$/mes = </t>
  </si>
  <si>
    <t>(50% de amortización)</t>
  </si>
  <si>
    <t xml:space="preserve">   x</t>
  </si>
  <si>
    <t xml:space="preserve">Costo Neto: </t>
  </si>
  <si>
    <t xml:space="preserve">0.10 lts/km x 4500 km/mes x   </t>
  </si>
  <si>
    <t xml:space="preserve">30% x 4500 km/mes x </t>
  </si>
  <si>
    <t>Proyecto de Defensa de las Márgenes del Río Pilcomayo                                        Ing. Eduardo
Zona Misión La Paz (Argentina)                                                                              Barbagelata
Comisión Trinacional para el Desarrollo de la Cuenca Río Pilcomayo</t>
  </si>
  <si>
    <t>Proyecto de Defensa de las Márgenes del Río Pilcomayo                                        Ing. Eduardo
Zona Misión La Paz (Argentina)                                                                             Barbagelata
Comisión Trinacional para el Desarrollo de la Cuenca Río Pilcomayo</t>
  </si>
  <si>
    <t>Proyecto de Defensa de las Márgenes del Río Pilcomayo                                                                                                                 Ing. Eduardo
Zona Misión La Paz (Argentina)                                                                                                                                                          Barbagelata
Comisión Trinacional para el Desarrollo de la Cuenca Río Pilcomayo</t>
  </si>
  <si>
    <t>Proyecto de Defensa de las Márgenes del Río Pilcomayo                                                                                                 Ing. Eduardo
Zona Misión La Paz (Argentina)                                                                                                                                       Barbagelata
Comisión Trinacional para el Desarrollo de la Cuenca Río Pilcomayo</t>
  </si>
  <si>
    <t>Proyecto de Defensa de las Márgenes del Río Pilcomayo                                        Ing. Eduardo
Zona Misión La Paz (Argentina)                                                                           Barbagelata
Comisión Trinacional para el Desarrollo de la Cuenca Río Pilcomayo</t>
  </si>
  <si>
    <t>Proyecto de Defensa de las Márgenes del Río Pilcomayo                                        Ing. Eduardo
Zona Misión La Paz (Argentina)                                                                         Barbagelata
Comisión Trinacional para el Desarrollo de la Cuenca Río Pilcomayo</t>
  </si>
  <si>
    <t>Tendones de Poliamida (3 KN)</t>
  </si>
  <si>
    <t>m/m²</t>
  </si>
  <si>
    <t>Tendones de Piolamida (3KN)</t>
  </si>
  <si>
    <t>Tendones de Poliamida (3KN)</t>
  </si>
  <si>
    <t>$/m.Km =</t>
  </si>
  <si>
    <t>Costo  Orígen (Villa Constitución)</t>
  </si>
  <si>
    <r>
      <t>t/m</t>
    </r>
    <r>
      <rPr>
        <vertAlign val="superscript"/>
        <sz val="10"/>
        <color theme="1"/>
        <rFont val="Arial"/>
        <family val="2"/>
      </rPr>
      <t>3</t>
    </r>
  </si>
  <si>
    <r>
      <t>$/m</t>
    </r>
    <r>
      <rPr>
        <vertAlign val="superscript"/>
        <sz val="10"/>
        <rFont val="Arial"/>
        <family val="2"/>
      </rPr>
      <t>3</t>
    </r>
  </si>
  <si>
    <r>
      <t>$/m</t>
    </r>
    <r>
      <rPr>
        <vertAlign val="superscript"/>
        <sz val="10"/>
        <color theme="1"/>
        <rFont val="Arial"/>
        <family val="2"/>
      </rPr>
      <t>3</t>
    </r>
  </si>
  <si>
    <r>
      <t>m/m</t>
    </r>
    <r>
      <rPr>
        <vertAlign val="superscript"/>
        <sz val="10"/>
        <rFont val="Arial"/>
        <family val="2"/>
      </rPr>
      <t>3</t>
    </r>
  </si>
  <si>
    <t>2.1-Geobolsas rellenas con suelo cemento al 5%</t>
  </si>
  <si>
    <r>
      <t>2.4-Geotubos de 1,5 m</t>
    </r>
    <r>
      <rPr>
        <b/>
        <vertAlign val="superscript"/>
        <sz val="14"/>
        <rFont val="Arial"/>
        <family val="2"/>
      </rPr>
      <t>2</t>
    </r>
    <r>
      <rPr>
        <b/>
        <sz val="14"/>
        <rFont val="Arial"/>
        <family val="2"/>
      </rPr>
      <t xml:space="preserve"> con suelo cemento al 5%</t>
    </r>
  </si>
  <si>
    <t>2.2-Geoceldas, e =0,20 m, rellenas con suelo cemento al 7%</t>
  </si>
  <si>
    <r>
      <t>2.5-Geotubos de 3 m</t>
    </r>
    <r>
      <rPr>
        <b/>
        <vertAlign val="superscript"/>
        <sz val="14"/>
        <rFont val="Arial"/>
        <family val="2"/>
      </rPr>
      <t>2</t>
    </r>
    <r>
      <rPr>
        <b/>
        <sz val="14"/>
        <rFont val="Arial"/>
        <family val="2"/>
      </rPr>
      <t xml:space="preserve"> con suelo cemento al 5%</t>
    </r>
  </si>
  <si>
    <t>MARGEN ARGENTINA</t>
  </si>
  <si>
    <t xml:space="preserve">Rubro  </t>
  </si>
  <si>
    <t>Ítem</t>
  </si>
  <si>
    <t>Designación</t>
  </si>
  <si>
    <t>Un</t>
  </si>
  <si>
    <t>Movimiento de Suelos</t>
  </si>
  <si>
    <t>1.1</t>
  </si>
  <si>
    <t>Desbosque y destronque</t>
  </si>
  <si>
    <t>ha</t>
  </si>
  <si>
    <t>Ejecución de terraplén incluida tareas de excavación</t>
  </si>
  <si>
    <t>m³</t>
  </si>
  <si>
    <t>Obras de Protección</t>
  </si>
  <si>
    <t>2.1</t>
  </si>
  <si>
    <t xml:space="preserve">Geobolsas rellenas con suelo cemento al 5% </t>
  </si>
  <si>
    <t>2.2</t>
  </si>
  <si>
    <t>Geoceldas, e = 20 cm rellenas con suelo cemento al 7%</t>
  </si>
  <si>
    <t>m²</t>
  </si>
  <si>
    <t>2.3</t>
  </si>
  <si>
    <r>
      <t>Geotubos de 1,5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</si>
  <si>
    <r>
      <t>Geotubos de 3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</si>
  <si>
    <t>Otros</t>
  </si>
  <si>
    <t>3.1</t>
  </si>
  <si>
    <t>Movilidad para la supervisión</t>
  </si>
  <si>
    <t>mes</t>
  </si>
  <si>
    <t>3.2</t>
  </si>
  <si>
    <t>Vivienda para la supervisión</t>
  </si>
  <si>
    <t>3.3</t>
  </si>
  <si>
    <t>Movilización de obra</t>
  </si>
  <si>
    <t>gl</t>
  </si>
  <si>
    <t>LISTADO DE ITEMS</t>
  </si>
  <si>
    <t>Costo Unitario</t>
  </si>
  <si>
    <t>Neto</t>
  </si>
  <si>
    <t>5% de presup arg</t>
  </si>
  <si>
    <t>Proyecto de Defensa de las Márgenes del Río Pilcomayo                                Ing. Eduardo
Zona Misión La Paz (Argentina)                                                                      Barbagelata
Comisión Trinacional para el Desarrollo de la Cuenca Río Pilcomayo</t>
  </si>
  <si>
    <t>Proyecto de Defensa de las Márgenes del Río Pilcomayo                                Ing. Eduardo
Zona Pozo Hondo (Paraguay)                                                                          Barbagelata
Comisión Trinacional para el Desarrollo de la Cuenca Río Pilcomayo</t>
  </si>
  <si>
    <t>5% de presup Parag</t>
  </si>
  <si>
    <t>MARGEN PARAGUAYA</t>
  </si>
  <si>
    <t>Pintura sintética con convertidor de</t>
  </si>
  <si>
    <t>óxido</t>
  </si>
  <si>
    <t>Pintura sintética con convertidor de óxido</t>
  </si>
  <si>
    <r>
      <t>l/m</t>
    </r>
    <r>
      <rPr>
        <vertAlign val="superscript"/>
        <sz val="10"/>
        <color theme="1"/>
        <rFont val="Arial"/>
        <family val="2"/>
      </rPr>
      <t>2</t>
    </r>
  </si>
  <si>
    <t>Anclajes en "J" de acero (Ø 10 mm)</t>
  </si>
  <si>
    <t>Anclajes en "J" de acero ( Ø 10 mm)</t>
  </si>
</sst>
</file>

<file path=xl/styles.xml><?xml version="1.0" encoding="utf-8"?>
<styleSheet xmlns="http://schemas.openxmlformats.org/spreadsheetml/2006/main">
  <numFmts count="27">
    <numFmt numFmtId="42" formatCode="_ &quot;$&quot;\ * #,##0_ ;_ &quot;$&quot;\ * \-#,##0_ ;_ &quot;$&quot;\ * &quot;-&quot;_ ;_ @_ "/>
    <numFmt numFmtId="164" formatCode="&quot;$&quot;\ #,##0.00"/>
    <numFmt numFmtId="165" formatCode="[$$-2C0A]\ #,##0.00"/>
    <numFmt numFmtId="166" formatCode="0.0000_)"/>
    <numFmt numFmtId="167" formatCode="0.0%"/>
    <numFmt numFmtId="168" formatCode="0.000_)"/>
    <numFmt numFmtId="169" formatCode="0.000000_)"/>
    <numFmt numFmtId="170" formatCode="#,##0.000"/>
    <numFmt numFmtId="171" formatCode="0.000000000000"/>
    <numFmt numFmtId="172" formatCode="0.00_)"/>
    <numFmt numFmtId="173" formatCode="mm/yy"/>
    <numFmt numFmtId="174" formatCode="0.0"/>
    <numFmt numFmtId="175" formatCode="#,##0.0"/>
    <numFmt numFmtId="176" formatCode="0_)"/>
    <numFmt numFmtId="177" formatCode="_-* #,##0.00\ _P_t_s_-;\-* #,##0.00\ _P_t_s_-;_-* \-??\ _P_t_s_-;_-@_-"/>
    <numFmt numFmtId="178" formatCode="0.000"/>
    <numFmt numFmtId="179" formatCode="_-* #,##0&quot; Pts&quot;_-;\-* #,##0&quot; Pts&quot;_-;_-* &quot;- Pts&quot;_-;_-@_-"/>
    <numFmt numFmtId="180" formatCode="[$$-2C0A]#,##0.00"/>
    <numFmt numFmtId="181" formatCode="[$$-2C0A]#,##0"/>
    <numFmt numFmtId="182" formatCode="&quot;x &quot;0&quot;  hs/día&quot;"/>
    <numFmt numFmtId="183" formatCode="_([$€]* #,##0.00_);_([$€]* \(#,##0.00\);_([$€]* &quot;-&quot;??_);_(@_)"/>
    <numFmt numFmtId="184" formatCode="_-* #,##0.00_-;\-* #,##0.00_-;_-* &quot;-&quot;??_-;_-@_-"/>
    <numFmt numFmtId="185" formatCode="mmmm\-yy"/>
    <numFmt numFmtId="186" formatCode="0.000000"/>
    <numFmt numFmtId="187" formatCode="0.0000"/>
    <numFmt numFmtId="188" formatCode="#,##0.0000"/>
    <numFmt numFmtId="189" formatCode="&quot;U$S&quot;\ #,##0.00\ 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name val="Times New Roman"/>
      <family val="1"/>
    </font>
    <font>
      <sz val="10"/>
      <name val="Courier New"/>
      <family val="3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Courier New"/>
      <family val="3"/>
    </font>
    <font>
      <sz val="10"/>
      <color indexed="8"/>
      <name val="Arial"/>
      <family val="2"/>
    </font>
    <font>
      <sz val="1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name val="Arial Narrow"/>
      <family val="2"/>
    </font>
    <font>
      <b/>
      <u/>
      <sz val="12"/>
      <name val="Arial"/>
      <family val="2"/>
    </font>
    <font>
      <b/>
      <sz val="8"/>
      <color indexed="81"/>
      <name val="Tahoma"/>
      <family val="2"/>
    </font>
    <font>
      <sz val="12"/>
      <name val="Courier New"/>
      <family val="3"/>
    </font>
    <font>
      <sz val="8"/>
      <color indexed="81"/>
      <name val="Tahoma"/>
      <family val="2"/>
    </font>
    <font>
      <b/>
      <sz val="11"/>
      <color indexed="10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"/>
      <color indexed="8"/>
      <name val="Courier New"/>
      <family val="3"/>
    </font>
    <font>
      <sz val="1"/>
      <color indexed="8"/>
      <name val="Courier New"/>
      <family val="3"/>
    </font>
    <font>
      <b/>
      <u/>
      <sz val="1"/>
      <color indexed="8"/>
      <name val="Courier New"/>
      <family val="3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u/>
      <sz val="1"/>
      <color indexed="8"/>
      <name val="Courier"/>
      <family val="3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ourier New"/>
      <family val="3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Verdana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  <font>
      <i/>
      <u/>
      <sz val="10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u/>
      <vertAlign val="superscript"/>
      <sz val="10"/>
      <name val="Arial"/>
      <family val="2"/>
    </font>
    <font>
      <b/>
      <vertAlign val="superscript"/>
      <sz val="14"/>
      <name val="Arial"/>
      <family val="2"/>
    </font>
    <font>
      <sz val="10"/>
      <color rgb="FFFF0000"/>
      <name val="Arial"/>
      <family val="2"/>
    </font>
    <font>
      <sz val="9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18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uble">
        <color indexed="8"/>
      </left>
      <right style="medium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 style="double">
        <color indexed="8"/>
      </left>
      <right style="medium">
        <color indexed="8"/>
      </right>
      <top style="double">
        <color indexed="8"/>
      </top>
      <bottom/>
      <diagonal/>
    </border>
    <border>
      <left style="medium">
        <color indexed="8"/>
      </left>
      <right style="medium">
        <color indexed="8"/>
      </right>
      <top style="double">
        <color indexed="8"/>
      </top>
      <bottom/>
      <diagonal/>
    </border>
    <border>
      <left style="medium">
        <color indexed="8"/>
      </left>
      <right style="double">
        <color indexed="8"/>
      </right>
      <top style="double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double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/>
      <right style="double">
        <color indexed="8"/>
      </right>
      <top style="thin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auto="1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/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8"/>
      </bottom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8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64"/>
      </right>
      <top/>
      <bottom style="double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155">
    <xf numFmtId="0" fontId="0" fillId="0" borderId="0"/>
    <xf numFmtId="42" fontId="1" fillId="0" borderId="0" applyFont="0" applyFill="0" applyBorder="0" applyAlignment="0" applyProtection="0"/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20" fillId="0" borderId="0"/>
    <xf numFmtId="9" fontId="7" fillId="0" borderId="0" applyFont="0" applyFill="0" applyBorder="0" applyAlignment="0" applyProtection="0"/>
    <xf numFmtId="0" fontId="3" fillId="0" borderId="0"/>
    <xf numFmtId="0" fontId="20" fillId="0" borderId="0"/>
    <xf numFmtId="164" fontId="7" fillId="0" borderId="0" applyFill="0" applyBorder="0" applyAlignment="0" applyProtection="0"/>
    <xf numFmtId="0" fontId="20" fillId="0" borderId="0"/>
    <xf numFmtId="0" fontId="30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183" fontId="7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170" fontId="7" fillId="0" borderId="0" applyFont="0" applyFill="0" applyBorder="0" applyAlignment="0" applyProtection="0"/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>
      <protection locked="0"/>
    </xf>
    <xf numFmtId="0" fontId="7" fillId="0" borderId="0"/>
    <xf numFmtId="0" fontId="7" fillId="0" borderId="0"/>
    <xf numFmtId="0" fontId="7" fillId="0" borderId="0"/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17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7" fillId="0" borderId="0"/>
    <xf numFmtId="170" fontId="7" fillId="0" borderId="0" applyFont="0" applyFill="0" applyBorder="0" applyAlignment="0" applyProtection="0"/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33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4" fontId="7" fillId="0" borderId="0" applyFont="0" applyFill="0" applyBorder="0" applyAlignment="0" applyProtection="0"/>
    <xf numFmtId="0" fontId="7" fillId="0" borderId="0"/>
    <xf numFmtId="184" fontId="7" fillId="0" borderId="0" applyFont="0" applyFill="0" applyBorder="0" applyAlignment="0" applyProtection="0"/>
    <xf numFmtId="0" fontId="7" fillId="0" borderId="0"/>
    <xf numFmtId="184" fontId="7" fillId="0" borderId="0" applyFont="0" applyFill="0" applyBorder="0" applyAlignment="0" applyProtection="0"/>
    <xf numFmtId="0" fontId="7" fillId="0" borderId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9" fontId="7" fillId="0" borderId="0" applyFill="0" applyBorder="0" applyAlignment="0" applyProtection="0"/>
    <xf numFmtId="0" fontId="7" fillId="0" borderId="0"/>
  </cellStyleXfs>
  <cellXfs count="1044">
    <xf numFmtId="0" fontId="0" fillId="0" borderId="0" xfId="0"/>
    <xf numFmtId="0" fontId="0" fillId="0" borderId="0" xfId="0" applyFill="1"/>
    <xf numFmtId="0" fontId="3" fillId="0" borderId="0" xfId="2" applyFill="1"/>
    <xf numFmtId="2" fontId="0" fillId="0" borderId="0" xfId="0" applyNumberFormat="1"/>
    <xf numFmtId="0" fontId="0" fillId="0" borderId="0" xfId="0" applyBorder="1"/>
    <xf numFmtId="0" fontId="3" fillId="0" borderId="0" xfId="2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2" applyFont="1" applyFill="1" applyAlignment="1">
      <alignment vertical="center" wrapText="1"/>
    </xf>
    <xf numFmtId="4" fontId="3" fillId="0" borderId="0" xfId="2" applyNumberFormat="1" applyFill="1" applyBorder="1" applyAlignment="1">
      <alignment vertical="center"/>
    </xf>
    <xf numFmtId="0" fontId="0" fillId="0" borderId="0" xfId="2" applyFont="1"/>
    <xf numFmtId="0" fontId="3" fillId="0" borderId="0" xfId="2"/>
    <xf numFmtId="0" fontId="0" fillId="0" borderId="19" xfId="2" applyFont="1" applyBorder="1"/>
    <xf numFmtId="0" fontId="0" fillId="0" borderId="0" xfId="2" applyFont="1" applyBorder="1"/>
    <xf numFmtId="0" fontId="0" fillId="0" borderId="20" xfId="2" applyFont="1" applyBorder="1"/>
    <xf numFmtId="0" fontId="0" fillId="0" borderId="19" xfId="2" applyFont="1" applyBorder="1" applyAlignment="1" applyProtection="1">
      <alignment horizontal="left"/>
    </xf>
    <xf numFmtId="0" fontId="3" fillId="0" borderId="0" xfId="2" applyBorder="1"/>
    <xf numFmtId="166" fontId="0" fillId="0" borderId="20" xfId="2" applyNumberFormat="1" applyFont="1" applyBorder="1" applyProtection="1"/>
    <xf numFmtId="9" fontId="0" fillId="0" borderId="0" xfId="2" applyNumberFormat="1" applyFont="1" applyBorder="1" applyProtection="1"/>
    <xf numFmtId="166" fontId="0" fillId="0" borderId="21" xfId="2" applyNumberFormat="1" applyFont="1" applyBorder="1" applyProtection="1"/>
    <xf numFmtId="0" fontId="0" fillId="0" borderId="0" xfId="2" applyFont="1" applyBorder="1" applyAlignment="1" applyProtection="1">
      <alignment horizontal="center"/>
    </xf>
    <xf numFmtId="166" fontId="6" fillId="0" borderId="0" xfId="2" applyNumberFormat="1" applyFont="1" applyBorder="1" applyAlignment="1" applyProtection="1">
      <alignment horizontal="center"/>
    </xf>
    <xf numFmtId="166" fontId="13" fillId="0" borderId="0" xfId="2" applyNumberFormat="1" applyFont="1" applyFill="1" applyBorder="1" applyProtection="1"/>
    <xf numFmtId="0" fontId="0" fillId="0" borderId="23" xfId="2" applyFont="1" applyBorder="1" applyAlignment="1" applyProtection="1">
      <alignment horizontal="left" vertical="center"/>
    </xf>
    <xf numFmtId="0" fontId="0" fillId="0" borderId="24" xfId="2" applyFont="1" applyBorder="1" applyAlignment="1">
      <alignment vertical="center"/>
    </xf>
    <xf numFmtId="168" fontId="6" fillId="0" borderId="25" xfId="2" applyNumberFormat="1" applyFont="1" applyFill="1" applyBorder="1" applyAlignment="1" applyProtection="1">
      <alignment horizontal="center" vertical="center"/>
    </xf>
    <xf numFmtId="0" fontId="3" fillId="0" borderId="24" xfId="2" applyBorder="1"/>
    <xf numFmtId="0" fontId="0" fillId="0" borderId="26" xfId="2" applyFont="1" applyBorder="1"/>
    <xf numFmtId="10" fontId="0" fillId="0" borderId="0" xfId="2" applyNumberFormat="1" applyFont="1" applyProtection="1"/>
    <xf numFmtId="169" fontId="0" fillId="0" borderId="0" xfId="2" applyNumberFormat="1" applyFont="1" applyProtection="1"/>
    <xf numFmtId="10" fontId="3" fillId="0" borderId="0" xfId="2" applyNumberFormat="1" applyProtection="1"/>
    <xf numFmtId="169" fontId="3" fillId="0" borderId="0" xfId="2" applyNumberFormat="1" applyProtection="1"/>
    <xf numFmtId="0" fontId="3" fillId="0" borderId="0" xfId="2" applyFont="1"/>
    <xf numFmtId="0" fontId="3" fillId="0" borderId="0" xfId="4"/>
    <xf numFmtId="0" fontId="6" fillId="0" borderId="0" xfId="4" applyFont="1" applyAlignment="1" applyProtection="1">
      <alignment horizontal="left"/>
    </xf>
    <xf numFmtId="0" fontId="0" fillId="0" borderId="0" xfId="4" applyFont="1"/>
    <xf numFmtId="166" fontId="0" fillId="0" borderId="0" xfId="4" applyNumberFormat="1" applyFont="1" applyProtection="1"/>
    <xf numFmtId="0" fontId="3" fillId="0" borderId="0" xfId="5"/>
    <xf numFmtId="0" fontId="0" fillId="0" borderId="0" xfId="4" applyFont="1" applyAlignment="1" applyProtection="1">
      <alignment horizontal="left"/>
    </xf>
    <xf numFmtId="0" fontId="6" fillId="0" borderId="0" xfId="4" applyFont="1"/>
    <xf numFmtId="0" fontId="11" fillId="0" borderId="0" xfId="4" applyFont="1" applyAlignment="1" applyProtection="1">
      <alignment horizontal="left"/>
    </xf>
    <xf numFmtId="0" fontId="11" fillId="0" borderId="0" xfId="4" applyFont="1"/>
    <xf numFmtId="0" fontId="0" fillId="0" borderId="33" xfId="4" applyFont="1" applyBorder="1" applyAlignment="1" applyProtection="1">
      <alignment horizontal="left"/>
    </xf>
    <xf numFmtId="0" fontId="0" fillId="0" borderId="34" xfId="4" applyFont="1" applyBorder="1"/>
    <xf numFmtId="166" fontId="0" fillId="0" borderId="34" xfId="4" applyNumberFormat="1" applyFont="1" applyBorder="1" applyProtection="1"/>
    <xf numFmtId="2" fontId="0" fillId="0" borderId="35" xfId="4" applyNumberFormat="1" applyFont="1" applyBorder="1"/>
    <xf numFmtId="0" fontId="0" fillId="0" borderId="36" xfId="4" applyFont="1" applyBorder="1" applyAlignment="1" applyProtection="1">
      <alignment horizontal="left"/>
    </xf>
    <xf numFmtId="0" fontId="0" fillId="0" borderId="37" xfId="4" applyFont="1" applyBorder="1"/>
    <xf numFmtId="166" fontId="0" fillId="0" borderId="37" xfId="4" applyNumberFormat="1" applyFont="1" applyBorder="1" applyProtection="1"/>
    <xf numFmtId="2" fontId="0" fillId="0" borderId="38" xfId="4" applyNumberFormat="1" applyFont="1" applyBorder="1"/>
    <xf numFmtId="0" fontId="0" fillId="0" borderId="39" xfId="4" applyFont="1" applyBorder="1" applyAlignment="1" applyProtection="1">
      <alignment horizontal="left"/>
    </xf>
    <xf numFmtId="0" fontId="0" fillId="0" borderId="40" xfId="4" applyFont="1" applyBorder="1"/>
    <xf numFmtId="166" fontId="0" fillId="0" borderId="40" xfId="4" applyNumberFormat="1" applyFont="1" applyBorder="1" applyProtection="1"/>
    <xf numFmtId="0" fontId="0" fillId="0" borderId="0" xfId="4" applyFont="1" applyAlignment="1">
      <alignment vertical="center"/>
    </xf>
    <xf numFmtId="0" fontId="3" fillId="0" borderId="0" xfId="4" applyAlignment="1">
      <alignment vertical="center"/>
    </xf>
    <xf numFmtId="0" fontId="18" fillId="0" borderId="0" xfId="4" applyFont="1" applyFill="1" applyAlignment="1" applyProtection="1"/>
    <xf numFmtId="171" fontId="0" fillId="0" borderId="0" xfId="4" applyNumberFormat="1" applyFont="1"/>
    <xf numFmtId="169" fontId="0" fillId="0" borderId="0" xfId="4" applyNumberFormat="1" applyFont="1" applyProtection="1"/>
    <xf numFmtId="166" fontId="11" fillId="0" borderId="0" xfId="4" applyNumberFormat="1" applyFont="1" applyProtection="1"/>
    <xf numFmtId="10" fontId="11" fillId="0" borderId="0" xfId="4" applyNumberFormat="1" applyFont="1" applyProtection="1"/>
    <xf numFmtId="169" fontId="11" fillId="0" borderId="0" xfId="4" applyNumberFormat="1" applyFont="1" applyProtection="1"/>
    <xf numFmtId="10" fontId="3" fillId="0" borderId="0" xfId="4" applyNumberFormat="1" applyProtection="1"/>
    <xf numFmtId="169" fontId="3" fillId="0" borderId="0" xfId="4" applyNumberFormat="1" applyProtection="1"/>
    <xf numFmtId="0" fontId="0" fillId="0" borderId="0" xfId="6" applyFont="1" applyFill="1"/>
    <xf numFmtId="4" fontId="0" fillId="0" borderId="0" xfId="6" applyNumberFormat="1" applyFont="1" applyFill="1"/>
    <xf numFmtId="0" fontId="0" fillId="0" borderId="0" xfId="6" applyFont="1" applyFill="1" applyAlignment="1">
      <alignment horizontal="left"/>
    </xf>
    <xf numFmtId="0" fontId="3" fillId="0" borderId="0" xfId="6" applyFill="1"/>
    <xf numFmtId="4" fontId="5" fillId="0" borderId="45" xfId="2" applyNumberFormat="1" applyFont="1" applyFill="1" applyBorder="1" applyAlignment="1" applyProtection="1">
      <alignment horizontal="center" vertical="center"/>
    </xf>
    <xf numFmtId="0" fontId="5" fillId="0" borderId="46" xfId="2" applyFont="1" applyFill="1" applyBorder="1" applyAlignment="1" applyProtection="1">
      <alignment horizontal="center"/>
    </xf>
    <xf numFmtId="0" fontId="0" fillId="0" borderId="0" xfId="2" applyFont="1" applyFill="1"/>
    <xf numFmtId="4" fontId="0" fillId="0" borderId="0" xfId="2" applyNumberFormat="1" applyFont="1" applyFill="1"/>
    <xf numFmtId="0" fontId="0" fillId="0" borderId="0" xfId="2" applyFont="1" applyFill="1" applyAlignment="1">
      <alignment horizontal="left"/>
    </xf>
    <xf numFmtId="0" fontId="6" fillId="0" borderId="47" xfId="6" applyFont="1" applyFill="1" applyBorder="1" applyAlignment="1" applyProtection="1"/>
    <xf numFmtId="0" fontId="0" fillId="0" borderId="48" xfId="6" applyFont="1" applyFill="1" applyBorder="1"/>
    <xf numFmtId="4" fontId="6" fillId="0" borderId="48" xfId="6" applyNumberFormat="1" applyFont="1" applyFill="1" applyBorder="1" applyAlignment="1">
      <alignment horizontal="right"/>
    </xf>
    <xf numFmtId="170" fontId="6" fillId="0" borderId="49" xfId="6" applyNumberFormat="1" applyFont="1" applyFill="1" applyBorder="1" applyAlignment="1">
      <alignment horizontal="left"/>
    </xf>
    <xf numFmtId="0" fontId="6" fillId="0" borderId="45" xfId="6" applyFont="1" applyFill="1" applyBorder="1"/>
    <xf numFmtId="0" fontId="0" fillId="0" borderId="50" xfId="6" applyFont="1" applyFill="1" applyBorder="1"/>
    <xf numFmtId="0" fontId="3" fillId="0" borderId="0" xfId="6" applyFont="1" applyFill="1"/>
    <xf numFmtId="10" fontId="7" fillId="2" borderId="52" xfId="6" applyNumberFormat="1" applyFont="1" applyFill="1" applyBorder="1" applyProtection="1"/>
    <xf numFmtId="4" fontId="7" fillId="2" borderId="6" xfId="6" applyNumberFormat="1" applyFont="1" applyFill="1" applyBorder="1" applyAlignment="1">
      <alignment horizontal="center"/>
    </xf>
    <xf numFmtId="170" fontId="7" fillId="2" borderId="53" xfId="6" applyNumberFormat="1" applyFont="1" applyFill="1" applyBorder="1" applyAlignment="1">
      <alignment horizontal="center"/>
    </xf>
    <xf numFmtId="0" fontId="7" fillId="2" borderId="51" xfId="6" applyFont="1" applyFill="1" applyBorder="1"/>
    <xf numFmtId="0" fontId="7" fillId="2" borderId="52" xfId="6" applyFont="1" applyFill="1" applyBorder="1"/>
    <xf numFmtId="174" fontId="3" fillId="0" borderId="0" xfId="6" applyNumberFormat="1" applyFill="1"/>
    <xf numFmtId="169" fontId="0" fillId="0" borderId="0" xfId="6" applyNumberFormat="1" applyFont="1" applyFill="1" applyProtection="1"/>
    <xf numFmtId="0" fontId="7" fillId="2" borderId="0" xfId="6" applyFont="1" applyFill="1" applyBorder="1"/>
    <xf numFmtId="0" fontId="3" fillId="2" borderId="0" xfId="6" applyFill="1" applyBorder="1"/>
    <xf numFmtId="4" fontId="7" fillId="2" borderId="0" xfId="6" applyNumberFormat="1" applyFont="1" applyFill="1" applyBorder="1" applyAlignment="1">
      <alignment horizontal="right"/>
    </xf>
    <xf numFmtId="4" fontId="3" fillId="0" borderId="0" xfId="6" applyNumberFormat="1" applyFill="1"/>
    <xf numFmtId="0" fontId="3" fillId="0" borderId="0" xfId="6" applyFill="1" applyAlignment="1">
      <alignment horizontal="left"/>
    </xf>
    <xf numFmtId="0" fontId="22" fillId="0" borderId="0" xfId="0" applyFont="1" applyAlignment="1">
      <alignment horizontal="center"/>
    </xf>
    <xf numFmtId="0" fontId="25" fillId="0" borderId="73" xfId="0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center"/>
    </xf>
    <xf numFmtId="0" fontId="25" fillId="0" borderId="74" xfId="0" applyFont="1" applyFill="1" applyBorder="1"/>
    <xf numFmtId="0" fontId="25" fillId="0" borderId="75" xfId="5" applyFont="1" applyFill="1" applyBorder="1" applyAlignment="1">
      <alignment horizontal="right" vertical="center"/>
    </xf>
    <xf numFmtId="9" fontId="4" fillId="0" borderId="76" xfId="8" applyFont="1" applyFill="1" applyBorder="1" applyAlignment="1">
      <alignment horizontal="center" vertical="center"/>
    </xf>
    <xf numFmtId="1" fontId="25" fillId="0" borderId="77" xfId="5" applyNumberFormat="1" applyFont="1" applyFill="1" applyBorder="1" applyAlignment="1">
      <alignment horizontal="center" vertical="center"/>
    </xf>
    <xf numFmtId="0" fontId="4" fillId="0" borderId="76" xfId="5" applyFont="1" applyFill="1" applyBorder="1" applyAlignment="1">
      <alignment horizontal="center" vertical="center"/>
    </xf>
    <xf numFmtId="1" fontId="25" fillId="0" borderId="77" xfId="5" applyNumberFormat="1" applyFont="1" applyFill="1" applyBorder="1" applyAlignment="1">
      <alignment horizontal="left" vertical="center"/>
    </xf>
    <xf numFmtId="3" fontId="4" fillId="0" borderId="76" xfId="5" applyNumberFormat="1" applyFont="1" applyFill="1" applyBorder="1" applyAlignment="1">
      <alignment horizontal="center" vertical="center"/>
    </xf>
    <xf numFmtId="2" fontId="4" fillId="0" borderId="76" xfId="5" applyNumberFormat="1" applyFont="1" applyFill="1" applyBorder="1" applyAlignment="1">
      <alignment horizontal="center" vertical="center"/>
    </xf>
    <xf numFmtId="0" fontId="25" fillId="0" borderId="75" xfId="0" applyFont="1" applyFill="1" applyBorder="1" applyAlignment="1">
      <alignment horizontal="right"/>
    </xf>
    <xf numFmtId="9" fontId="4" fillId="0" borderId="76" xfId="8" applyFont="1" applyFill="1" applyBorder="1" applyAlignment="1">
      <alignment horizontal="center"/>
    </xf>
    <xf numFmtId="0" fontId="25" fillId="0" borderId="77" xfId="0" applyFont="1" applyFill="1" applyBorder="1"/>
    <xf numFmtId="0" fontId="25" fillId="0" borderId="78" xfId="0" applyFont="1" applyFill="1" applyBorder="1" applyAlignment="1">
      <alignment horizontal="right"/>
    </xf>
    <xf numFmtId="9" fontId="4" fillId="0" borderId="79" xfId="8" applyFont="1" applyFill="1" applyBorder="1" applyAlignment="1">
      <alignment horizontal="center"/>
    </xf>
    <xf numFmtId="0" fontId="25" fillId="0" borderId="80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9" fillId="0" borderId="0" xfId="3" applyAlignment="1" applyProtection="1"/>
    <xf numFmtId="0" fontId="0" fillId="0" borderId="0" xfId="9" applyFont="1" applyAlignment="1">
      <alignment horizontal="center"/>
    </xf>
    <xf numFmtId="0" fontId="0" fillId="0" borderId="48" xfId="10" applyFont="1" applyBorder="1" applyAlignment="1">
      <alignment horizontal="center"/>
    </xf>
    <xf numFmtId="0" fontId="0" fillId="0" borderId="0" xfId="10" applyFont="1" applyAlignment="1">
      <alignment horizontal="center"/>
    </xf>
    <xf numFmtId="0" fontId="0" fillId="0" borderId="0" xfId="10" applyFont="1"/>
    <xf numFmtId="0" fontId="0" fillId="0" borderId="0" xfId="9" applyFont="1"/>
    <xf numFmtId="0" fontId="0" fillId="0" borderId="19" xfId="10" applyFont="1" applyBorder="1" applyAlignment="1" applyProtection="1">
      <alignment horizontal="right"/>
    </xf>
    <xf numFmtId="1" fontId="0" fillId="0" borderId="0" xfId="10" applyNumberFormat="1" applyFont="1" applyFill="1" applyBorder="1" applyAlignment="1" applyProtection="1">
      <alignment horizontal="center"/>
    </xf>
    <xf numFmtId="0" fontId="0" fillId="0" borderId="0" xfId="10" applyFont="1" applyFill="1" applyBorder="1" applyAlignment="1" applyProtection="1">
      <alignment horizontal="center"/>
    </xf>
    <xf numFmtId="4" fontId="0" fillId="0" borderId="27" xfId="9" applyNumberFormat="1" applyFont="1" applyBorder="1" applyAlignment="1">
      <alignment horizontal="center"/>
    </xf>
    <xf numFmtId="4" fontId="0" fillId="0" borderId="0" xfId="9" applyNumberFormat="1" applyFont="1"/>
    <xf numFmtId="0" fontId="0" fillId="0" borderId="19" xfId="10" applyFont="1" applyBorder="1"/>
    <xf numFmtId="0" fontId="0" fillId="0" borderId="0" xfId="10" applyFont="1" applyFill="1" applyBorder="1"/>
    <xf numFmtId="0" fontId="0" fillId="0" borderId="0" xfId="9" applyFont="1" applyBorder="1"/>
    <xf numFmtId="0" fontId="0" fillId="0" borderId="0" xfId="10" applyFont="1" applyFill="1" applyBorder="1" applyAlignment="1">
      <alignment horizontal="center"/>
    </xf>
    <xf numFmtId="4" fontId="0" fillId="0" borderId="85" xfId="9" applyNumberFormat="1" applyFont="1" applyBorder="1" applyAlignment="1">
      <alignment horizontal="center"/>
    </xf>
    <xf numFmtId="4" fontId="0" fillId="0" borderId="29" xfId="9" applyNumberFormat="1" applyFont="1" applyBorder="1" applyAlignment="1">
      <alignment horizontal="center"/>
    </xf>
    <xf numFmtId="4" fontId="0" fillId="0" borderId="45" xfId="9" applyNumberFormat="1" applyFont="1" applyBorder="1" applyAlignment="1">
      <alignment horizontal="center"/>
    </xf>
    <xf numFmtId="4" fontId="6" fillId="0" borderId="0" xfId="9" applyNumberFormat="1" applyFont="1"/>
    <xf numFmtId="0" fontId="0" fillId="0" borderId="0" xfId="10" applyFont="1" applyBorder="1"/>
    <xf numFmtId="0" fontId="0" fillId="0" borderId="0" xfId="9" applyFont="1" applyBorder="1" applyAlignment="1">
      <alignment horizontal="center"/>
    </xf>
    <xf numFmtId="165" fontId="0" fillId="0" borderId="86" xfId="9" applyNumberFormat="1" applyFont="1" applyBorder="1" applyAlignment="1">
      <alignment horizontal="center"/>
    </xf>
    <xf numFmtId="0" fontId="3" fillId="0" borderId="0" xfId="9" applyFont="1" applyBorder="1" applyAlignment="1">
      <alignment horizontal="center" wrapText="1"/>
    </xf>
    <xf numFmtId="165" fontId="0" fillId="0" borderId="44" xfId="9" applyNumberFormat="1" applyFont="1" applyBorder="1" applyAlignment="1">
      <alignment horizontal="center"/>
    </xf>
    <xf numFmtId="0" fontId="0" fillId="0" borderId="0" xfId="10" applyFont="1" applyFill="1" applyBorder="1" applyAlignment="1" applyProtection="1"/>
    <xf numFmtId="4" fontId="3" fillId="0" borderId="0" xfId="9" applyNumberFormat="1" applyFont="1" applyBorder="1" applyAlignment="1">
      <alignment horizontal="center" wrapText="1"/>
    </xf>
    <xf numFmtId="165" fontId="0" fillId="0" borderId="27" xfId="9" applyNumberFormat="1" applyFont="1" applyBorder="1" applyAlignment="1">
      <alignment horizontal="center"/>
    </xf>
    <xf numFmtId="0" fontId="3" fillId="0" borderId="27" xfId="9" applyFont="1" applyBorder="1" applyAlignment="1">
      <alignment horizontal="center" wrapText="1"/>
    </xf>
    <xf numFmtId="0" fontId="7" fillId="0" borderId="0" xfId="10" applyFont="1" applyFill="1" applyBorder="1" applyAlignment="1">
      <alignment horizontal="center"/>
    </xf>
    <xf numFmtId="4" fontId="0" fillId="0" borderId="0" xfId="10" applyNumberFormat="1" applyFont="1"/>
    <xf numFmtId="0" fontId="0" fillId="0" borderId="0" xfId="9" applyFont="1" applyFill="1"/>
    <xf numFmtId="4" fontId="0" fillId="0" borderId="0" xfId="9" applyNumberFormat="1" applyFont="1" applyAlignment="1">
      <alignment horizontal="center"/>
    </xf>
    <xf numFmtId="0" fontId="13" fillId="0" borderId="0" xfId="10" applyFont="1" applyFill="1" applyAlignment="1">
      <alignment horizontal="center"/>
    </xf>
    <xf numFmtId="0" fontId="13" fillId="0" borderId="0" xfId="10" applyFont="1" applyFill="1"/>
    <xf numFmtId="0" fontId="6" fillId="0" borderId="0" xfId="9" applyFont="1" applyFill="1"/>
    <xf numFmtId="0" fontId="5" fillId="0" borderId="82" xfId="10" applyFont="1" applyFill="1" applyBorder="1" applyAlignment="1">
      <alignment horizontal="center" vertical="center"/>
    </xf>
    <xf numFmtId="0" fontId="5" fillId="0" borderId="82" xfId="10" applyFont="1" applyFill="1" applyBorder="1" applyAlignment="1">
      <alignment vertical="center"/>
    </xf>
    <xf numFmtId="0" fontId="5" fillId="0" borderId="83" xfId="10" applyFont="1" applyFill="1" applyBorder="1" applyAlignment="1">
      <alignment horizontal="left" vertical="center"/>
    </xf>
    <xf numFmtId="0" fontId="13" fillId="0" borderId="0" xfId="10" applyFont="1" applyFill="1" applyBorder="1" applyAlignment="1">
      <alignment horizontal="center"/>
    </xf>
    <xf numFmtId="4" fontId="13" fillId="0" borderId="0" xfId="10" applyNumberFormat="1" applyFont="1" applyFill="1" applyBorder="1"/>
    <xf numFmtId="0" fontId="0" fillId="0" borderId="0" xfId="9" applyFont="1" applyFill="1" applyBorder="1"/>
    <xf numFmtId="0" fontId="3" fillId="0" borderId="0" xfId="9" applyAlignment="1">
      <alignment horizontal="center"/>
    </xf>
    <xf numFmtId="0" fontId="3" fillId="0" borderId="0" xfId="9"/>
    <xf numFmtId="0" fontId="0" fillId="0" borderId="0" xfId="10" applyFont="1" applyFill="1"/>
    <xf numFmtId="0" fontId="3" fillId="0" borderId="0" xfId="9" applyAlignment="1">
      <alignment horizontal="right"/>
    </xf>
    <xf numFmtId="0" fontId="3" fillId="0" borderId="0" xfId="9" applyAlignment="1">
      <alignment horizontal="left"/>
    </xf>
    <xf numFmtId="4" fontId="3" fillId="0" borderId="0" xfId="9" applyNumberFormat="1"/>
    <xf numFmtId="0" fontId="12" fillId="0" borderId="0" xfId="9" applyFont="1"/>
    <xf numFmtId="0" fontId="3" fillId="0" borderId="0" xfId="9" applyBorder="1"/>
    <xf numFmtId="0" fontId="3" fillId="0" borderId="0" xfId="9" applyFont="1"/>
    <xf numFmtId="0" fontId="6" fillId="0" borderId="23" xfId="10" applyFont="1" applyFill="1" applyBorder="1" applyAlignment="1" applyProtection="1">
      <alignment horizontal="left"/>
    </xf>
    <xf numFmtId="0" fontId="3" fillId="0" borderId="0" xfId="9" applyFill="1"/>
    <xf numFmtId="165" fontId="0" fillId="0" borderId="0" xfId="9" applyNumberFormat="1" applyFont="1" applyBorder="1" applyAlignment="1">
      <alignment horizontal="center"/>
    </xf>
    <xf numFmtId="0" fontId="0" fillId="0" borderId="0" xfId="12" applyFont="1"/>
    <xf numFmtId="179" fontId="6" fillId="0" borderId="81" xfId="1" applyNumberFormat="1" applyFont="1" applyFill="1" applyBorder="1" applyAlignment="1" applyProtection="1">
      <alignment horizontal="left" vertical="center"/>
    </xf>
    <xf numFmtId="179" fontId="6" fillId="0" borderId="82" xfId="1" applyNumberFormat="1" applyFont="1" applyFill="1" applyBorder="1" applyAlignment="1" applyProtection="1">
      <alignment horizontal="center" vertical="center"/>
    </xf>
    <xf numFmtId="179" fontId="6" fillId="0" borderId="83" xfId="1" applyNumberFormat="1" applyFont="1" applyFill="1" applyBorder="1" applyAlignment="1" applyProtection="1">
      <alignment horizontal="center" vertical="center"/>
    </xf>
    <xf numFmtId="0" fontId="6" fillId="2" borderId="19" xfId="0" applyFont="1" applyFill="1" applyBorder="1"/>
    <xf numFmtId="2" fontId="6" fillId="2" borderId="0" xfId="0" applyNumberFormat="1" applyFont="1" applyFill="1" applyBorder="1" applyAlignment="1">
      <alignment horizontal="center"/>
    </xf>
    <xf numFmtId="2" fontId="6" fillId="2" borderId="20" xfId="0" applyNumberFormat="1" applyFont="1" applyFill="1" applyBorder="1"/>
    <xf numFmtId="0" fontId="7" fillId="2" borderId="19" xfId="12" applyFont="1" applyFill="1" applyBorder="1"/>
    <xf numFmtId="0" fontId="6" fillId="0" borderId="19" xfId="0" applyFont="1" applyFill="1" applyBorder="1"/>
    <xf numFmtId="2" fontId="6" fillId="0" borderId="0" xfId="0" applyNumberFormat="1" applyFont="1" applyFill="1" applyBorder="1" applyAlignment="1">
      <alignment horizontal="center"/>
    </xf>
    <xf numFmtId="2" fontId="6" fillId="0" borderId="20" xfId="0" applyNumberFormat="1" applyFont="1" applyFill="1" applyBorder="1"/>
    <xf numFmtId="0" fontId="6" fillId="0" borderId="28" xfId="0" applyFont="1" applyFill="1" applyBorder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0" fontId="6" fillId="0" borderId="19" xfId="0" applyFont="1" applyBorder="1"/>
    <xf numFmtId="0" fontId="7" fillId="0" borderId="0" xfId="0" applyFont="1" applyBorder="1"/>
    <xf numFmtId="0" fontId="7" fillId="0" borderId="0" xfId="10" applyNumberFormat="1" applyFont="1" applyBorder="1" applyAlignment="1">
      <alignment horizontal="center"/>
    </xf>
    <xf numFmtId="2" fontId="7" fillId="0" borderId="0" xfId="10" applyNumberFormat="1" applyFont="1" applyBorder="1" applyAlignment="1">
      <alignment horizontal="center"/>
    </xf>
    <xf numFmtId="2" fontId="7" fillId="0" borderId="20" xfId="10" applyNumberFormat="1" applyFont="1" applyBorder="1" applyAlignment="1">
      <alignment horizontal="center"/>
    </xf>
    <xf numFmtId="0" fontId="7" fillId="0" borderId="0" xfId="10" applyFont="1" applyBorder="1"/>
    <xf numFmtId="2" fontId="7" fillId="0" borderId="0" xfId="10" applyNumberFormat="1" applyFont="1" applyFill="1" applyBorder="1" applyAlignment="1" applyProtection="1">
      <alignment horizontal="center"/>
    </xf>
    <xf numFmtId="0" fontId="7" fillId="0" borderId="19" xfId="10" applyFont="1" applyBorder="1" applyProtection="1"/>
    <xf numFmtId="0" fontId="7" fillId="0" borderId="0" xfId="10" applyFont="1" applyFill="1" applyBorder="1" applyAlignment="1" applyProtection="1"/>
    <xf numFmtId="1" fontId="7" fillId="0" borderId="0" xfId="10" applyNumberFormat="1" applyFont="1" applyFill="1" applyBorder="1" applyAlignment="1" applyProtection="1">
      <alignment horizontal="center"/>
    </xf>
    <xf numFmtId="2" fontId="7" fillId="0" borderId="0" xfId="9" applyNumberFormat="1" applyFont="1" applyBorder="1" applyAlignment="1">
      <alignment horizontal="center"/>
    </xf>
    <xf numFmtId="2" fontId="7" fillId="0" borderId="20" xfId="9" applyNumberFormat="1" applyFont="1" applyBorder="1" applyAlignment="1">
      <alignment horizontal="center"/>
    </xf>
    <xf numFmtId="0" fontId="7" fillId="0" borderId="19" xfId="10" applyFont="1" applyBorder="1"/>
    <xf numFmtId="0" fontId="7" fillId="0" borderId="0" xfId="10" applyFont="1" applyFill="1" applyBorder="1"/>
    <xf numFmtId="1" fontId="7" fillId="0" borderId="87" xfId="10" applyNumberFormat="1" applyFont="1" applyFill="1" applyBorder="1" applyAlignment="1" applyProtection="1">
      <alignment horizontal="center"/>
    </xf>
    <xf numFmtId="2" fontId="7" fillId="0" borderId="0" xfId="10" applyNumberFormat="1" applyFont="1" applyFill="1" applyBorder="1" applyAlignment="1">
      <alignment horizontal="center"/>
    </xf>
    <xf numFmtId="0" fontId="7" fillId="0" borderId="19" xfId="0" applyFont="1" applyBorder="1"/>
    <xf numFmtId="0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" fillId="0" borderId="0" xfId="10" applyNumberFormat="1" applyFont="1" applyFill="1" applyBorder="1" applyAlignment="1">
      <alignment horizontal="center"/>
    </xf>
    <xf numFmtId="2" fontId="7" fillId="0" borderId="20" xfId="10" applyNumberFormat="1" applyFont="1" applyFill="1" applyBorder="1" applyAlignment="1">
      <alignment horizontal="center"/>
    </xf>
    <xf numFmtId="0" fontId="7" fillId="0" borderId="0" xfId="10" applyFont="1" applyFill="1" applyBorder="1" applyAlignment="1" applyProtection="1">
      <alignment horizontal="left"/>
    </xf>
    <xf numFmtId="0" fontId="7" fillId="0" borderId="0" xfId="10" applyNumberFormat="1" applyFont="1" applyFill="1" applyBorder="1" applyAlignment="1" applyProtection="1">
      <alignment horizontal="center"/>
    </xf>
    <xf numFmtId="2" fontId="7" fillId="0" borderId="0" xfId="10" applyNumberFormat="1" applyFont="1" applyBorder="1" applyAlignment="1" applyProtection="1">
      <alignment horizontal="center"/>
    </xf>
    <xf numFmtId="0" fontId="7" fillId="0" borderId="0" xfId="9" applyFont="1" applyBorder="1" applyAlignment="1">
      <alignment horizontal="center"/>
    </xf>
    <xf numFmtId="2" fontId="7" fillId="0" borderId="37" xfId="10" applyNumberFormat="1" applyFont="1" applyFill="1" applyBorder="1" applyAlignment="1" applyProtection="1">
      <alignment horizontal="center"/>
    </xf>
    <xf numFmtId="2" fontId="7" fillId="0" borderId="21" xfId="10" applyNumberFormat="1" applyFont="1" applyBorder="1" applyAlignment="1" applyProtection="1">
      <alignment horizontal="center"/>
    </xf>
    <xf numFmtId="0" fontId="7" fillId="0" borderId="19" xfId="10" applyFont="1" applyFill="1" applyBorder="1" applyAlignment="1" applyProtection="1"/>
    <xf numFmtId="2" fontId="7" fillId="0" borderId="20" xfId="10" applyNumberFormat="1" applyFont="1" applyBorder="1" applyAlignment="1" applyProtection="1">
      <alignment horizontal="center"/>
    </xf>
    <xf numFmtId="2" fontId="7" fillId="0" borderId="20" xfId="10" applyNumberFormat="1" applyFont="1" applyFill="1" applyBorder="1" applyAlignment="1" applyProtection="1">
      <alignment horizontal="center"/>
    </xf>
    <xf numFmtId="176" fontId="7" fillId="0" borderId="0" xfId="10" applyNumberFormat="1" applyFont="1" applyFill="1" applyBorder="1" applyAlignment="1" applyProtection="1">
      <alignment horizontal="right"/>
    </xf>
    <xf numFmtId="0" fontId="7" fillId="0" borderId="0" xfId="10" applyFont="1" applyFill="1" applyBorder="1" applyAlignment="1" applyProtection="1">
      <alignment horizontal="center"/>
    </xf>
    <xf numFmtId="4" fontId="7" fillId="0" borderId="0" xfId="10" applyNumberFormat="1" applyFont="1" applyFill="1" applyBorder="1" applyAlignment="1" applyProtection="1">
      <alignment horizontal="center"/>
    </xf>
    <xf numFmtId="0" fontId="7" fillId="0" borderId="20" xfId="10" applyFont="1" applyFill="1" applyBorder="1" applyAlignment="1">
      <alignment horizontal="center"/>
    </xf>
    <xf numFmtId="4" fontId="7" fillId="0" borderId="0" xfId="10" applyNumberFormat="1" applyFont="1" applyFill="1" applyBorder="1" applyAlignment="1">
      <alignment horizontal="center"/>
    </xf>
    <xf numFmtId="4" fontId="6" fillId="0" borderId="0" xfId="10" applyNumberFormat="1" applyFont="1" applyFill="1" applyBorder="1" applyAlignment="1" applyProtection="1">
      <alignment horizontal="center"/>
    </xf>
    <xf numFmtId="2" fontId="6" fillId="0" borderId="20" xfId="10" applyNumberFormat="1" applyFont="1" applyFill="1" applyBorder="1" applyAlignment="1">
      <alignment horizontal="center"/>
    </xf>
    <xf numFmtId="0" fontId="7" fillId="0" borderId="24" xfId="9" applyNumberFormat="1" applyFont="1" applyBorder="1" applyAlignment="1">
      <alignment horizontal="center"/>
    </xf>
    <xf numFmtId="178" fontId="7" fillId="0" borderId="24" xfId="10" applyNumberFormat="1" applyFont="1" applyFill="1" applyBorder="1" applyAlignment="1" applyProtection="1">
      <alignment horizontal="center"/>
    </xf>
    <xf numFmtId="2" fontId="7" fillId="0" borderId="24" xfId="10" applyNumberFormat="1" applyFont="1" applyFill="1" applyBorder="1" applyAlignment="1" applyProtection="1">
      <alignment horizontal="center"/>
    </xf>
    <xf numFmtId="2" fontId="6" fillId="0" borderId="24" xfId="10" applyNumberFormat="1" applyFont="1" applyFill="1" applyBorder="1" applyAlignment="1" applyProtection="1">
      <alignment horizontal="center"/>
    </xf>
    <xf numFmtId="2" fontId="6" fillId="0" borderId="26" xfId="10" applyNumberFormat="1" applyFont="1" applyFill="1" applyBorder="1" applyAlignment="1" applyProtection="1">
      <alignment horizontal="center"/>
    </xf>
    <xf numFmtId="0" fontId="0" fillId="0" borderId="0" xfId="0" applyFill="1" applyAlignment="1"/>
    <xf numFmtId="0" fontId="28" fillId="2" borderId="19" xfId="7" applyFont="1" applyFill="1" applyBorder="1" applyAlignment="1" applyProtection="1"/>
    <xf numFmtId="0" fontId="7" fillId="2" borderId="0" xfId="7" applyFont="1" applyFill="1" applyBorder="1"/>
    <xf numFmtId="0" fontId="7" fillId="2" borderId="20" xfId="7" applyFont="1" applyFill="1" applyBorder="1" applyAlignment="1">
      <alignment horizontal="center"/>
    </xf>
    <xf numFmtId="0" fontId="7" fillId="2" borderId="19" xfId="7" applyFont="1" applyFill="1" applyBorder="1" applyAlignment="1" applyProtection="1"/>
    <xf numFmtId="172" fontId="7" fillId="2" borderId="0" xfId="7" applyNumberFormat="1" applyFont="1" applyFill="1" applyBorder="1" applyProtection="1"/>
    <xf numFmtId="0" fontId="7" fillId="2" borderId="20" xfId="7" applyFont="1" applyFill="1" applyBorder="1" applyAlignment="1" applyProtection="1">
      <alignment horizontal="center"/>
    </xf>
    <xf numFmtId="0" fontId="7" fillId="2" borderId="0" xfId="7" applyFont="1" applyFill="1" applyBorder="1" applyProtection="1"/>
    <xf numFmtId="0" fontId="7" fillId="2" borderId="0" xfId="7" applyFont="1" applyFill="1" applyBorder="1" applyAlignment="1" applyProtection="1"/>
    <xf numFmtId="0" fontId="7" fillId="2" borderId="19" xfId="7" applyFont="1" applyFill="1" applyBorder="1"/>
    <xf numFmtId="0" fontId="7" fillId="2" borderId="0" xfId="7" applyFont="1" applyFill="1" applyBorder="1" applyAlignment="1">
      <alignment horizontal="center"/>
    </xf>
    <xf numFmtId="9" fontId="7" fillId="2" borderId="0" xfId="7" applyNumberFormat="1" applyFont="1" applyFill="1" applyBorder="1" applyProtection="1"/>
    <xf numFmtId="0" fontId="7" fillId="2" borderId="0" xfId="7" applyFont="1" applyFill="1" applyBorder="1" applyAlignment="1">
      <alignment horizontal="right"/>
    </xf>
    <xf numFmtId="172" fontId="6" fillId="2" borderId="0" xfId="7" applyNumberFormat="1" applyFont="1" applyFill="1" applyBorder="1" applyProtection="1"/>
    <xf numFmtId="0" fontId="6" fillId="2" borderId="20" xfId="7" applyFont="1" applyFill="1" applyBorder="1" applyAlignment="1" applyProtection="1">
      <alignment horizontal="center"/>
    </xf>
    <xf numFmtId="167" fontId="7" fillId="2" borderId="0" xfId="7" applyNumberFormat="1" applyFont="1" applyFill="1" applyBorder="1" applyProtection="1"/>
    <xf numFmtId="0" fontId="7" fillId="2" borderId="0" xfId="7" applyFont="1" applyFill="1" applyBorder="1" applyAlignment="1" applyProtection="1">
      <alignment horizontal="right"/>
    </xf>
    <xf numFmtId="0" fontId="3" fillId="0" borderId="0" xfId="9" applyFill="1" applyBorder="1" applyAlignment="1">
      <alignment horizontal="center"/>
    </xf>
    <xf numFmtId="0" fontId="6" fillId="0" borderId="0" xfId="0" applyFont="1" applyBorder="1"/>
    <xf numFmtId="0" fontId="28" fillId="0" borderId="0" xfId="0" applyFont="1" applyBorder="1"/>
    <xf numFmtId="0" fontId="0" fillId="0" borderId="0" xfId="10" applyFont="1" applyAlignment="1">
      <alignment vertical="center"/>
    </xf>
    <xf numFmtId="180" fontId="6" fillId="0" borderId="0" xfId="0" applyNumberFormat="1" applyFont="1" applyBorder="1" applyAlignment="1">
      <alignment horizontal="center" vertical="center"/>
    </xf>
    <xf numFmtId="2" fontId="6" fillId="0" borderId="0" xfId="0" applyNumberFormat="1" applyFont="1" applyBorder="1"/>
    <xf numFmtId="0" fontId="29" fillId="0" borderId="0" xfId="0" applyFont="1" applyBorder="1"/>
    <xf numFmtId="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0" fontId="3" fillId="0" borderId="27" xfId="9" applyFont="1" applyBorder="1" applyAlignment="1">
      <alignment horizontal="center" wrapText="1"/>
    </xf>
    <xf numFmtId="2" fontId="6" fillId="2" borderId="24" xfId="0" applyNumberFormat="1" applyFont="1" applyFill="1" applyBorder="1" applyAlignment="1">
      <alignment horizontal="center"/>
    </xf>
    <xf numFmtId="0" fontId="3" fillId="0" borderId="27" xfId="9" applyFont="1" applyBorder="1" applyAlignment="1">
      <alignment horizontal="center" wrapText="1"/>
    </xf>
    <xf numFmtId="0" fontId="7" fillId="2" borderId="23" xfId="6" applyFont="1" applyFill="1" applyBorder="1"/>
    <xf numFmtId="0" fontId="3" fillId="2" borderId="97" xfId="6" applyFill="1" applyBorder="1"/>
    <xf numFmtId="4" fontId="7" fillId="2" borderId="98" xfId="6" applyNumberFormat="1" applyFont="1" applyFill="1" applyBorder="1" applyAlignment="1">
      <alignment horizontal="center"/>
    </xf>
    <xf numFmtId="0" fontId="7" fillId="2" borderId="99" xfId="6" applyFont="1" applyFill="1" applyBorder="1" applyAlignment="1">
      <alignment horizontal="center"/>
    </xf>
    <xf numFmtId="2" fontId="7" fillId="2" borderId="0" xfId="12" applyNumberFormat="1" applyFont="1" applyFill="1" applyBorder="1" applyAlignment="1">
      <alignment horizontal="center" vertical="center"/>
    </xf>
    <xf numFmtId="2" fontId="7" fillId="2" borderId="37" xfId="12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/>
    </xf>
    <xf numFmtId="2" fontId="6" fillId="2" borderId="96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20" xfId="12" applyNumberFormat="1" applyFont="1" applyFill="1" applyBorder="1" applyAlignment="1">
      <alignment horizontal="center" vertical="center"/>
    </xf>
    <xf numFmtId="0" fontId="3" fillId="0" borderId="0" xfId="2" applyFill="1" applyAlignment="1">
      <alignment vertical="center"/>
    </xf>
    <xf numFmtId="0" fontId="6" fillId="0" borderId="47" xfId="10" applyFont="1" applyFill="1" applyBorder="1" applyAlignment="1" applyProtection="1"/>
    <xf numFmtId="0" fontId="13" fillId="0" borderId="24" xfId="10" applyFont="1" applyFill="1" applyBorder="1"/>
    <xf numFmtId="0" fontId="5" fillId="0" borderId="82" xfId="10" applyFont="1" applyFill="1" applyBorder="1" applyAlignment="1">
      <alignment horizontal="center" vertical="center"/>
    </xf>
    <xf numFmtId="0" fontId="5" fillId="0" borderId="82" xfId="10" applyFont="1" applyFill="1" applyBorder="1" applyAlignment="1">
      <alignment vertical="center"/>
    </xf>
    <xf numFmtId="0" fontId="5" fillId="0" borderId="83" xfId="10" applyFont="1" applyFill="1" applyBorder="1" applyAlignment="1">
      <alignment horizontal="left" vertical="center"/>
    </xf>
    <xf numFmtId="4" fontId="6" fillId="0" borderId="0" xfId="10" applyNumberFormat="1" applyFont="1" applyFill="1" applyBorder="1" applyProtection="1"/>
    <xf numFmtId="4" fontId="6" fillId="0" borderId="24" xfId="10" applyNumberFormat="1" applyFont="1" applyFill="1" applyBorder="1" applyProtection="1"/>
    <xf numFmtId="0" fontId="9" fillId="0" borderId="0" xfId="3" applyAlignment="1" applyProtection="1"/>
    <xf numFmtId="0" fontId="6" fillId="2" borderId="19" xfId="10" applyFont="1" applyFill="1" applyBorder="1" applyAlignment="1" applyProtection="1">
      <alignment horizontal="left"/>
    </xf>
    <xf numFmtId="0" fontId="11" fillId="2" borderId="0" xfId="10" applyFont="1" applyFill="1" applyBorder="1" applyAlignment="1" applyProtection="1"/>
    <xf numFmtId="4" fontId="0" fillId="2" borderId="0" xfId="10" applyNumberFormat="1" applyFont="1" applyFill="1" applyBorder="1" applyAlignment="1" applyProtection="1">
      <alignment horizontal="center"/>
    </xf>
    <xf numFmtId="0" fontId="0" fillId="2" borderId="0" xfId="10" applyFont="1" applyFill="1" applyBorder="1" applyAlignment="1" applyProtection="1">
      <alignment horizontal="center"/>
    </xf>
    <xf numFmtId="0" fontId="0" fillId="2" borderId="0" xfId="10" applyFont="1" applyFill="1" applyBorder="1"/>
    <xf numFmtId="0" fontId="3" fillId="0" borderId="19" xfId="9" applyBorder="1"/>
    <xf numFmtId="0" fontId="3" fillId="2" borderId="0" xfId="9" applyFill="1"/>
    <xf numFmtId="0" fontId="3" fillId="2" borderId="0" xfId="9" applyFont="1" applyFill="1"/>
    <xf numFmtId="173" fontId="0" fillId="2" borderId="50" xfId="6" applyNumberFormat="1" applyFont="1" applyFill="1" applyBorder="1"/>
    <xf numFmtId="0" fontId="0" fillId="2" borderId="0" xfId="2" applyFont="1" applyFill="1"/>
    <xf numFmtId="0" fontId="3" fillId="2" borderId="0" xfId="2" applyFill="1"/>
    <xf numFmtId="0" fontId="3" fillId="0" borderId="24" xfId="9" applyBorder="1"/>
    <xf numFmtId="0" fontId="6" fillId="0" borderId="91" xfId="10" applyFont="1" applyFill="1" applyBorder="1" applyAlignment="1" applyProtection="1">
      <alignment horizontal="left"/>
    </xf>
    <xf numFmtId="0" fontId="3" fillId="0" borderId="23" xfId="9" applyBorder="1"/>
    <xf numFmtId="0" fontId="3" fillId="0" borderId="37" xfId="9" applyBorder="1"/>
    <xf numFmtId="0" fontId="0" fillId="0" borderId="37" xfId="10" applyFont="1" applyBorder="1"/>
    <xf numFmtId="0" fontId="3" fillId="0" borderId="0" xfId="9"/>
    <xf numFmtId="0" fontId="13" fillId="0" borderId="0" xfId="10" applyFont="1" applyFill="1" applyBorder="1" applyAlignment="1" applyProtection="1"/>
    <xf numFmtId="0" fontId="6" fillId="0" borderId="19" xfId="10" applyFont="1" applyFill="1" applyBorder="1" applyAlignment="1" applyProtection="1"/>
    <xf numFmtId="0" fontId="6" fillId="0" borderId="19" xfId="10" applyFont="1" applyFill="1" applyBorder="1" applyAlignment="1" applyProtection="1">
      <alignment horizontal="left"/>
    </xf>
    <xf numFmtId="0" fontId="13" fillId="0" borderId="0" xfId="10" applyFont="1" applyFill="1"/>
    <xf numFmtId="0" fontId="3" fillId="0" borderId="0" xfId="9" applyBorder="1"/>
    <xf numFmtId="0" fontId="3" fillId="0" borderId="0" xfId="9" applyAlignment="1">
      <alignment horizontal="center"/>
    </xf>
    <xf numFmtId="4" fontId="6" fillId="0" borderId="0" xfId="9" applyNumberFormat="1" applyFont="1"/>
    <xf numFmtId="0" fontId="3" fillId="0" borderId="0" xfId="9" applyFont="1" applyBorder="1" applyAlignment="1">
      <alignment horizontal="center" wrapText="1"/>
    </xf>
    <xf numFmtId="4" fontId="3" fillId="0" borderId="0" xfId="9" applyNumberFormat="1" applyFont="1" applyBorder="1" applyAlignment="1">
      <alignment horizontal="center" wrapText="1"/>
    </xf>
    <xf numFmtId="0" fontId="13" fillId="0" borderId="0" xfId="10" applyFont="1" applyFill="1" applyAlignment="1">
      <alignment horizontal="center"/>
    </xf>
    <xf numFmtId="0" fontId="13" fillId="0" borderId="0" xfId="10" applyFont="1" applyFill="1" applyBorder="1" applyAlignment="1">
      <alignment horizontal="center"/>
    </xf>
    <xf numFmtId="4" fontId="13" fillId="0" borderId="0" xfId="10" applyNumberFormat="1" applyFont="1" applyFill="1" applyBorder="1"/>
    <xf numFmtId="0" fontId="12" fillId="0" borderId="0" xfId="9" applyFont="1"/>
    <xf numFmtId="0" fontId="6" fillId="0" borderId="0" xfId="9" applyFont="1" applyFill="1"/>
    <xf numFmtId="0" fontId="11" fillId="0" borderId="0" xfId="10" applyFont="1" applyFill="1" applyBorder="1" applyAlignment="1" applyProtection="1"/>
    <xf numFmtId="0" fontId="9" fillId="0" borderId="0" xfId="3" applyAlignment="1" applyProtection="1"/>
    <xf numFmtId="0" fontId="6" fillId="2" borderId="47" xfId="10" applyFont="1" applyFill="1" applyBorder="1" applyAlignment="1" applyProtection="1"/>
    <xf numFmtId="0" fontId="0" fillId="2" borderId="48" xfId="10" applyFont="1" applyFill="1" applyBorder="1"/>
    <xf numFmtId="0" fontId="0" fillId="2" borderId="48" xfId="10" applyFont="1" applyFill="1" applyBorder="1" applyAlignment="1">
      <alignment horizontal="center"/>
    </xf>
    <xf numFmtId="0" fontId="0" fillId="2" borderId="19" xfId="10" applyFont="1" applyFill="1" applyBorder="1" applyAlignment="1" applyProtection="1">
      <alignment horizontal="right"/>
    </xf>
    <xf numFmtId="1" fontId="0" fillId="2" borderId="0" xfId="10" applyNumberFormat="1" applyFont="1" applyFill="1" applyBorder="1" applyAlignment="1" applyProtection="1">
      <alignment horizontal="center"/>
    </xf>
    <xf numFmtId="10" fontId="37" fillId="2" borderId="0" xfId="10" applyNumberFormat="1" applyFont="1" applyFill="1" applyBorder="1" applyAlignment="1" applyProtection="1">
      <alignment horizontal="center"/>
    </xf>
    <xf numFmtId="0" fontId="0" fillId="0" borderId="0" xfId="10" applyFont="1" applyBorder="1" applyAlignment="1" applyProtection="1">
      <alignment horizontal="center"/>
    </xf>
    <xf numFmtId="0" fontId="27" fillId="0" borderId="0" xfId="10" applyFont="1" applyBorder="1" applyAlignment="1">
      <alignment horizontal="center"/>
    </xf>
    <xf numFmtId="4" fontId="0" fillId="0" borderId="0" xfId="10" applyNumberFormat="1" applyFont="1" applyFill="1" applyBorder="1" applyAlignment="1" applyProtection="1">
      <alignment horizontal="center"/>
    </xf>
    <xf numFmtId="0" fontId="5" fillId="0" borderId="82" xfId="9" applyFont="1" applyBorder="1" applyAlignment="1">
      <alignment horizontal="center"/>
    </xf>
    <xf numFmtId="0" fontId="0" fillId="0" borderId="49" xfId="10" applyFont="1" applyBorder="1" applyAlignment="1">
      <alignment horizontal="center"/>
    </xf>
    <xf numFmtId="175" fontId="37" fillId="2" borderId="0" xfId="10" applyNumberFormat="1" applyFont="1" applyFill="1" applyBorder="1" applyAlignment="1" applyProtection="1">
      <alignment horizontal="center"/>
    </xf>
    <xf numFmtId="4" fontId="0" fillId="2" borderId="0" xfId="9" applyNumberFormat="1" applyFont="1" applyFill="1" applyBorder="1" applyAlignment="1">
      <alignment horizontal="center"/>
    </xf>
    <xf numFmtId="0" fontId="27" fillId="0" borderId="20" xfId="10" applyFont="1" applyBorder="1" applyAlignment="1">
      <alignment horizontal="center"/>
    </xf>
    <xf numFmtId="175" fontId="0" fillId="0" borderId="0" xfId="10" applyNumberFormat="1" applyFont="1" applyFill="1" applyBorder="1" applyAlignment="1" applyProtection="1">
      <alignment horizontal="center"/>
    </xf>
    <xf numFmtId="4" fontId="0" fillId="0" borderId="0" xfId="9" applyNumberFormat="1" applyFont="1" applyBorder="1" applyAlignment="1">
      <alignment horizontal="center"/>
    </xf>
    <xf numFmtId="4" fontId="6" fillId="0" borderId="21" xfId="10" applyNumberFormat="1" applyFont="1" applyFill="1" applyBorder="1" applyAlignment="1" applyProtection="1">
      <alignment horizontal="center"/>
    </xf>
    <xf numFmtId="0" fontId="5" fillId="0" borderId="83" xfId="9" applyFont="1" applyBorder="1" applyAlignment="1">
      <alignment horizontal="center"/>
    </xf>
    <xf numFmtId="4" fontId="7" fillId="0" borderId="24" xfId="10" applyNumberFormat="1" applyFont="1" applyFill="1" applyBorder="1" applyAlignment="1" applyProtection="1">
      <alignment horizontal="center"/>
    </xf>
    <xf numFmtId="0" fontId="41" fillId="0" borderId="19" xfId="10" applyFont="1" applyBorder="1"/>
    <xf numFmtId="0" fontId="3" fillId="0" borderId="27" xfId="9" applyFont="1" applyBorder="1" applyAlignment="1">
      <alignment horizontal="center" wrapText="1"/>
    </xf>
    <xf numFmtId="4" fontId="0" fillId="0" borderId="106" xfId="9" applyNumberFormat="1" applyFont="1" applyBorder="1" applyAlignment="1">
      <alignment horizontal="center"/>
    </xf>
    <xf numFmtId="2" fontId="7" fillId="2" borderId="0" xfId="7" applyNumberFormat="1" applyFont="1" applyFill="1" applyBorder="1" applyAlignment="1" applyProtection="1">
      <alignment horizontal="center"/>
    </xf>
    <xf numFmtId="172" fontId="6" fillId="2" borderId="108" xfId="7" applyNumberFormat="1" applyFont="1" applyFill="1" applyBorder="1" applyProtection="1"/>
    <xf numFmtId="4" fontId="0" fillId="0" borderId="0" xfId="10" applyNumberFormat="1" applyFont="1" applyBorder="1" applyAlignment="1" applyProtection="1">
      <alignment horizontal="center"/>
    </xf>
    <xf numFmtId="4" fontId="27" fillId="0" borderId="20" xfId="10" applyNumberFormat="1" applyFont="1" applyBorder="1" applyAlignment="1">
      <alignment horizontal="center"/>
    </xf>
    <xf numFmtId="4" fontId="0" fillId="0" borderId="20" xfId="10" applyNumberFormat="1" applyFont="1" applyBorder="1" applyAlignment="1" applyProtection="1">
      <alignment horizontal="center"/>
    </xf>
    <xf numFmtId="4" fontId="0" fillId="0" borderId="0" xfId="10" applyNumberFormat="1" applyFont="1" applyFill="1" applyBorder="1" applyAlignment="1">
      <alignment horizontal="center"/>
    </xf>
    <xf numFmtId="4" fontId="0" fillId="0" borderId="105" xfId="10" applyNumberFormat="1" applyFont="1" applyFill="1" applyBorder="1" applyAlignment="1" applyProtection="1">
      <alignment horizontal="center"/>
    </xf>
    <xf numFmtId="4" fontId="0" fillId="0" borderId="20" xfId="10" applyNumberFormat="1" applyFont="1" applyFill="1" applyBorder="1" applyAlignment="1" applyProtection="1">
      <alignment horizontal="center"/>
    </xf>
    <xf numFmtId="4" fontId="0" fillId="2" borderId="0" xfId="10" applyNumberFormat="1" applyFont="1" applyFill="1" applyBorder="1" applyAlignment="1">
      <alignment horizontal="center"/>
    </xf>
    <xf numFmtId="4" fontId="0" fillId="0" borderId="0" xfId="10" applyNumberFormat="1" applyFont="1" applyBorder="1" applyAlignment="1">
      <alignment horizontal="center"/>
    </xf>
    <xf numFmtId="4" fontId="0" fillId="0" borderId="20" xfId="10" applyNumberFormat="1" applyFont="1" applyFill="1" applyBorder="1" applyAlignment="1">
      <alignment horizontal="center"/>
    </xf>
    <xf numFmtId="4" fontId="0" fillId="0" borderId="20" xfId="10" applyNumberFormat="1" applyFont="1" applyBorder="1" applyAlignment="1">
      <alignment horizontal="center"/>
    </xf>
    <xf numFmtId="4" fontId="0" fillId="0" borderId="37" xfId="9" applyNumberFormat="1" applyFont="1" applyBorder="1" applyAlignment="1">
      <alignment horizontal="center"/>
    </xf>
    <xf numFmtId="4" fontId="0" fillId="0" borderId="37" xfId="10" applyNumberFormat="1" applyFont="1" applyFill="1" applyBorder="1" applyAlignment="1" applyProtection="1">
      <alignment horizontal="center"/>
    </xf>
    <xf numFmtId="4" fontId="0" fillId="2" borderId="37" xfId="10" applyNumberFormat="1" applyFont="1" applyFill="1" applyBorder="1" applyAlignment="1" applyProtection="1">
      <alignment horizontal="center"/>
    </xf>
    <xf numFmtId="4" fontId="6" fillId="0" borderId="37" xfId="10" applyNumberFormat="1" applyFont="1" applyFill="1" applyBorder="1" applyAlignment="1" applyProtection="1">
      <alignment horizontal="center"/>
    </xf>
    <xf numFmtId="4" fontId="1" fillId="0" borderId="0" xfId="9" applyNumberFormat="1" applyFont="1" applyBorder="1" applyAlignment="1">
      <alignment horizontal="center"/>
    </xf>
    <xf numFmtId="4" fontId="1" fillId="0" borderId="0" xfId="10" applyNumberFormat="1" applyFont="1" applyFill="1" applyBorder="1" applyAlignment="1" applyProtection="1">
      <alignment horizontal="center"/>
    </xf>
    <xf numFmtId="4" fontId="1" fillId="2" borderId="0" xfId="10" applyNumberFormat="1" applyFont="1" applyFill="1" applyBorder="1" applyAlignment="1" applyProtection="1">
      <alignment horizontal="center"/>
    </xf>
    <xf numFmtId="4" fontId="1" fillId="0" borderId="20" xfId="10" applyNumberFormat="1" applyFont="1" applyFill="1" applyBorder="1" applyAlignment="1" applyProtection="1">
      <alignment horizontal="center"/>
    </xf>
    <xf numFmtId="4" fontId="37" fillId="0" borderId="0" xfId="10" applyNumberFormat="1" applyFont="1" applyFill="1" applyBorder="1" applyAlignment="1" applyProtection="1">
      <alignment horizontal="center"/>
    </xf>
    <xf numFmtId="4" fontId="37" fillId="2" borderId="0" xfId="10" applyNumberFormat="1" applyFont="1" applyFill="1" applyBorder="1" applyAlignment="1" applyProtection="1">
      <alignment horizontal="center"/>
    </xf>
    <xf numFmtId="4" fontId="37" fillId="0" borderId="0" xfId="9" applyNumberFormat="1" applyFont="1" applyBorder="1" applyAlignment="1">
      <alignment horizontal="center"/>
    </xf>
    <xf numFmtId="4" fontId="4" fillId="0" borderId="0" xfId="10" applyNumberFormat="1" applyFont="1" applyFill="1" applyBorder="1" applyAlignment="1" applyProtection="1">
      <alignment horizontal="center"/>
    </xf>
    <xf numFmtId="4" fontId="4" fillId="0" borderId="20" xfId="10" applyNumberFormat="1" applyFont="1" applyFill="1" applyBorder="1" applyAlignment="1" applyProtection="1">
      <alignment horizontal="center"/>
    </xf>
    <xf numFmtId="4" fontId="4" fillId="0" borderId="0" xfId="10" applyNumberFormat="1" applyFont="1" applyFill="1" applyBorder="1" applyAlignment="1">
      <alignment horizontal="center" vertical="center"/>
    </xf>
    <xf numFmtId="4" fontId="4" fillId="0" borderId="20" xfId="10" applyNumberFormat="1" applyFont="1" applyFill="1" applyBorder="1" applyAlignment="1">
      <alignment horizontal="center" vertical="center"/>
    </xf>
    <xf numFmtId="4" fontId="37" fillId="0" borderId="0" xfId="10" applyNumberFormat="1" applyFont="1" applyFill="1" applyBorder="1" applyAlignment="1">
      <alignment horizontal="center"/>
    </xf>
    <xf numFmtId="4" fontId="40" fillId="0" borderId="0" xfId="9" applyNumberFormat="1" applyFont="1" applyBorder="1" applyAlignment="1">
      <alignment horizontal="center"/>
    </xf>
    <xf numFmtId="4" fontId="37" fillId="2" borderId="0" xfId="10" applyNumberFormat="1" applyFont="1" applyFill="1" applyBorder="1" applyAlignment="1">
      <alignment horizontal="center"/>
    </xf>
    <xf numFmtId="4" fontId="39" fillId="0" borderId="20" xfId="9" applyNumberFormat="1" applyFont="1" applyBorder="1" applyAlignment="1">
      <alignment horizontal="center"/>
    </xf>
    <xf numFmtId="4" fontId="40" fillId="2" borderId="0" xfId="9" applyNumberFormat="1" applyFont="1" applyFill="1" applyBorder="1" applyAlignment="1">
      <alignment horizontal="center"/>
    </xf>
    <xf numFmtId="4" fontId="40" fillId="0" borderId="20" xfId="9" applyNumberFormat="1" applyFont="1" applyBorder="1" applyAlignment="1">
      <alignment horizontal="center"/>
    </xf>
    <xf numFmtId="4" fontId="40" fillId="0" borderId="105" xfId="9" applyNumberFormat="1" applyFont="1" applyBorder="1" applyAlignment="1">
      <alignment horizontal="center"/>
    </xf>
    <xf numFmtId="4" fontId="38" fillId="0" borderId="0" xfId="9" applyNumberFormat="1" applyFont="1" applyBorder="1" applyAlignment="1">
      <alignment horizontal="center"/>
    </xf>
    <xf numFmtId="4" fontId="38" fillId="0" borderId="20" xfId="9" applyNumberFormat="1" applyFont="1" applyBorder="1" applyAlignment="1">
      <alignment horizontal="center"/>
    </xf>
    <xf numFmtId="4" fontId="38" fillId="0" borderId="37" xfId="9" applyNumberFormat="1" applyFont="1" applyBorder="1" applyAlignment="1">
      <alignment horizontal="center"/>
    </xf>
    <xf numFmtId="4" fontId="39" fillId="0" borderId="0" xfId="9" applyNumberFormat="1" applyFont="1" applyBorder="1" applyAlignment="1">
      <alignment horizontal="center"/>
    </xf>
    <xf numFmtId="4" fontId="38" fillId="0" borderId="24" xfId="9" applyNumberFormat="1" applyFont="1" applyBorder="1" applyAlignment="1">
      <alignment horizontal="center"/>
    </xf>
    <xf numFmtId="4" fontId="38" fillId="0" borderId="26" xfId="9" applyNumberFormat="1" applyFont="1" applyBorder="1" applyAlignment="1">
      <alignment horizontal="center"/>
    </xf>
    <xf numFmtId="4" fontId="39" fillId="0" borderId="37" xfId="9" applyNumberFormat="1" applyFont="1" applyBorder="1" applyAlignment="1">
      <alignment horizontal="center"/>
    </xf>
    <xf numFmtId="4" fontId="39" fillId="0" borderId="21" xfId="9" applyNumberFormat="1" applyFont="1" applyBorder="1" applyAlignment="1">
      <alignment horizontal="center"/>
    </xf>
    <xf numFmtId="4" fontId="40" fillId="0" borderId="24" xfId="9" applyNumberFormat="1" applyFont="1" applyBorder="1" applyAlignment="1">
      <alignment horizontal="center"/>
    </xf>
    <xf numFmtId="4" fontId="39" fillId="0" borderId="24" xfId="9" applyNumberFormat="1" applyFont="1" applyBorder="1" applyAlignment="1">
      <alignment horizontal="center"/>
    </xf>
    <xf numFmtId="4" fontId="5" fillId="0" borderId="82" xfId="9" applyNumberFormat="1" applyFont="1" applyBorder="1" applyAlignment="1">
      <alignment horizontal="center"/>
    </xf>
    <xf numFmtId="4" fontId="6" fillId="0" borderId="20" xfId="10" applyNumberFormat="1" applyFont="1" applyFill="1" applyBorder="1" applyAlignment="1" applyProtection="1">
      <alignment horizontal="left"/>
    </xf>
    <xf numFmtId="4" fontId="6" fillId="0" borderId="26" xfId="10" applyNumberFormat="1" applyFont="1" applyFill="1" applyBorder="1" applyAlignment="1" applyProtection="1">
      <alignment horizontal="left"/>
    </xf>
    <xf numFmtId="3" fontId="0" fillId="0" borderId="0" xfId="10" applyNumberFormat="1" applyFont="1" applyFill="1" applyBorder="1" applyAlignment="1" applyProtection="1">
      <alignment horizontal="center"/>
    </xf>
    <xf numFmtId="3" fontId="40" fillId="0" borderId="105" xfId="9" applyNumberFormat="1" applyFont="1" applyBorder="1" applyAlignment="1">
      <alignment horizontal="center"/>
    </xf>
    <xf numFmtId="3" fontId="0" fillId="0" borderId="105" xfId="10" applyNumberFormat="1" applyFont="1" applyFill="1" applyBorder="1" applyAlignment="1" applyProtection="1">
      <alignment horizontal="center"/>
    </xf>
    <xf numFmtId="165" fontId="0" fillId="0" borderId="106" xfId="9" applyNumberFormat="1" applyFont="1" applyBorder="1" applyAlignment="1">
      <alignment horizontal="center"/>
    </xf>
    <xf numFmtId="0" fontId="3" fillId="0" borderId="27" xfId="9" applyFont="1" applyBorder="1" applyAlignment="1">
      <alignment horizontal="center" wrapText="1"/>
    </xf>
    <xf numFmtId="0" fontId="3" fillId="0" borderId="27" xfId="9" applyFont="1" applyBorder="1" applyAlignment="1">
      <alignment horizontal="center" wrapText="1"/>
    </xf>
    <xf numFmtId="167" fontId="0" fillId="0" borderId="0" xfId="2" applyNumberFormat="1" applyFont="1" applyBorder="1" applyProtection="1"/>
    <xf numFmtId="0" fontId="0" fillId="0" borderId="24" xfId="2" applyFont="1" applyBorder="1"/>
    <xf numFmtId="0" fontId="0" fillId="0" borderId="0" xfId="5" applyFont="1" applyAlignment="1">
      <alignment horizontal="center"/>
    </xf>
    <xf numFmtId="0" fontId="0" fillId="0" borderId="0" xfId="5" applyFont="1"/>
    <xf numFmtId="0" fontId="0" fillId="0" borderId="0" xfId="5" applyFont="1" applyAlignment="1">
      <alignment horizontal="right"/>
    </xf>
    <xf numFmtId="3" fontId="0" fillId="0" borderId="0" xfId="5" applyNumberFormat="1" applyFont="1" applyAlignment="1">
      <alignment horizontal="right"/>
    </xf>
    <xf numFmtId="0" fontId="7" fillId="0" borderId="0" xfId="66" applyAlignment="1"/>
    <xf numFmtId="0" fontId="7" fillId="0" borderId="0" xfId="66"/>
    <xf numFmtId="0" fontId="0" fillId="0" borderId="110" xfId="4" applyFont="1" applyBorder="1" applyAlignment="1" applyProtection="1">
      <alignment horizontal="left"/>
    </xf>
    <xf numFmtId="0" fontId="0" fillId="0" borderId="110" xfId="4" applyFont="1" applyBorder="1" applyAlignment="1">
      <alignment vertical="center"/>
    </xf>
    <xf numFmtId="166" fontId="0" fillId="0" borderId="110" xfId="4" applyNumberFormat="1" applyFont="1" applyBorder="1" applyAlignment="1" applyProtection="1">
      <alignment vertical="center"/>
    </xf>
    <xf numFmtId="10" fontId="0" fillId="0" borderId="110" xfId="153" applyNumberFormat="1" applyFont="1" applyFill="1" applyBorder="1" applyAlignment="1" applyProtection="1">
      <alignment vertical="center"/>
    </xf>
    <xf numFmtId="0" fontId="7" fillId="0" borderId="0" xfId="66" applyAlignment="1">
      <alignment horizontal="center"/>
    </xf>
    <xf numFmtId="17" fontId="5" fillId="3" borderId="114" xfId="66" applyNumberFormat="1" applyFont="1" applyFill="1" applyBorder="1" applyAlignment="1">
      <alignment horizontal="center"/>
    </xf>
    <xf numFmtId="0" fontId="6" fillId="0" borderId="43" xfId="66" applyFont="1" applyBorder="1" applyAlignment="1">
      <alignment horizontal="center"/>
    </xf>
    <xf numFmtId="0" fontId="0" fillId="0" borderId="110" xfId="4" applyFont="1" applyFill="1" applyBorder="1" applyAlignment="1">
      <alignment vertical="center"/>
    </xf>
    <xf numFmtId="166" fontId="0" fillId="0" borderId="110" xfId="4" applyNumberFormat="1" applyFont="1" applyFill="1" applyBorder="1" applyAlignment="1" applyProtection="1">
      <alignment vertical="center"/>
    </xf>
    <xf numFmtId="0" fontId="6" fillId="0" borderId="113" xfId="66" applyFont="1" applyBorder="1" applyAlignment="1">
      <alignment horizontal="center"/>
    </xf>
    <xf numFmtId="0" fontId="16" fillId="3" borderId="116" xfId="66" applyFont="1" applyFill="1" applyBorder="1" applyAlignment="1">
      <alignment horizontal="center"/>
    </xf>
    <xf numFmtId="4" fontId="42" fillId="3" borderId="117" xfId="66" applyNumberFormat="1" applyFont="1" applyFill="1" applyBorder="1" applyAlignment="1">
      <alignment horizontal="center"/>
    </xf>
    <xf numFmtId="4" fontId="14" fillId="3" borderId="118" xfId="66" applyNumberFormat="1" applyFont="1" applyFill="1" applyBorder="1" applyAlignment="1">
      <alignment horizontal="center"/>
    </xf>
    <xf numFmtId="0" fontId="16" fillId="3" borderId="119" xfId="66" applyFont="1" applyFill="1" applyBorder="1" applyAlignment="1">
      <alignment horizontal="center"/>
    </xf>
    <xf numFmtId="4" fontId="42" fillId="3" borderId="120" xfId="66" applyNumberFormat="1" applyFont="1" applyFill="1" applyBorder="1" applyAlignment="1">
      <alignment horizontal="center"/>
    </xf>
    <xf numFmtId="4" fontId="14" fillId="3" borderId="121" xfId="66" applyNumberFormat="1" applyFont="1" applyFill="1" applyBorder="1" applyAlignment="1">
      <alignment horizontal="center"/>
    </xf>
    <xf numFmtId="0" fontId="16" fillId="3" borderId="122" xfId="66" applyFont="1" applyFill="1" applyBorder="1" applyAlignment="1">
      <alignment horizontal="center"/>
    </xf>
    <xf numFmtId="4" fontId="42" fillId="3" borderId="123" xfId="66" applyNumberFormat="1" applyFont="1" applyFill="1" applyBorder="1" applyAlignment="1">
      <alignment horizontal="center"/>
    </xf>
    <xf numFmtId="4" fontId="14" fillId="3" borderId="124" xfId="66" applyNumberFormat="1" applyFont="1" applyFill="1" applyBorder="1" applyAlignment="1">
      <alignment horizontal="center"/>
    </xf>
    <xf numFmtId="0" fontId="14" fillId="0" borderId="0" xfId="66" applyFont="1" applyBorder="1" applyAlignment="1">
      <alignment horizontal="center"/>
    </xf>
    <xf numFmtId="0" fontId="7" fillId="0" borderId="0" xfId="66" applyBorder="1" applyAlignment="1">
      <alignment horizontal="center"/>
    </xf>
    <xf numFmtId="166" fontId="0" fillId="0" borderId="0" xfId="4" applyNumberFormat="1" applyFont="1" applyAlignment="1" applyProtection="1">
      <alignment vertical="center"/>
    </xf>
    <xf numFmtId="0" fontId="16" fillId="3" borderId="0" xfId="66" applyFont="1" applyFill="1" applyBorder="1"/>
    <xf numFmtId="0" fontId="6" fillId="0" borderId="37" xfId="4" applyFont="1" applyBorder="1" applyAlignment="1" applyProtection="1">
      <alignment horizontal="left"/>
    </xf>
    <xf numFmtId="10" fontId="0" fillId="0" borderId="37" xfId="4" applyNumberFormat="1" applyFont="1" applyBorder="1"/>
    <xf numFmtId="0" fontId="15" fillId="3" borderId="0" xfId="66" applyFont="1" applyFill="1" applyBorder="1"/>
    <xf numFmtId="0" fontId="6" fillId="0" borderId="6" xfId="4" applyFont="1" applyFill="1" applyBorder="1" applyAlignment="1" applyProtection="1">
      <alignment horizontal="center" vertical="center" wrapText="1"/>
    </xf>
    <xf numFmtId="0" fontId="13" fillId="0" borderId="6" xfId="4" applyFont="1" applyFill="1" applyBorder="1" applyAlignment="1" applyProtection="1">
      <alignment horizontal="center"/>
    </xf>
    <xf numFmtId="172" fontId="0" fillId="0" borderId="6" xfId="4" applyNumberFormat="1" applyFont="1" applyBorder="1" applyAlignment="1" applyProtection="1">
      <alignment horizontal="center"/>
    </xf>
    <xf numFmtId="172" fontId="0" fillId="0" borderId="6" xfId="4" applyNumberFormat="1" applyFont="1" applyFill="1" applyBorder="1" applyAlignment="1" applyProtection="1">
      <alignment horizontal="center"/>
    </xf>
    <xf numFmtId="10" fontId="13" fillId="0" borderId="6" xfId="4" applyNumberFormat="1" applyFont="1" applyFill="1" applyBorder="1" applyAlignment="1" applyProtection="1">
      <alignment horizontal="center"/>
    </xf>
    <xf numFmtId="10" fontId="13" fillId="2" borderId="6" xfId="4" applyNumberFormat="1" applyFont="1" applyFill="1" applyBorder="1" applyAlignment="1" applyProtection="1">
      <alignment horizontal="center"/>
    </xf>
    <xf numFmtId="172" fontId="13" fillId="0" borderId="6" xfId="4" applyNumberFormat="1" applyFont="1" applyFill="1" applyBorder="1" applyAlignment="1" applyProtection="1">
      <alignment horizontal="center"/>
    </xf>
    <xf numFmtId="9" fontId="13" fillId="0" borderId="6" xfId="4" applyNumberFormat="1" applyFont="1" applyFill="1" applyBorder="1" applyAlignment="1" applyProtection="1">
      <alignment horizontal="center"/>
    </xf>
    <xf numFmtId="172" fontId="6" fillId="0" borderId="6" xfId="4" applyNumberFormat="1" applyFont="1" applyFill="1" applyBorder="1" applyAlignment="1" applyProtection="1">
      <alignment horizontal="center"/>
    </xf>
    <xf numFmtId="186" fontId="0" fillId="0" borderId="0" xfId="4" applyNumberFormat="1" applyFont="1"/>
    <xf numFmtId="172" fontId="0" fillId="0" borderId="0" xfId="4" applyNumberFormat="1" applyFont="1"/>
    <xf numFmtId="0" fontId="43" fillId="0" borderId="0" xfId="3" applyFont="1" applyAlignment="1" applyProtection="1"/>
    <xf numFmtId="0" fontId="44" fillId="0" borderId="0" xfId="4" applyFont="1"/>
    <xf numFmtId="2" fontId="0" fillId="0" borderId="126" xfId="4" applyNumberFormat="1" applyFont="1" applyBorder="1"/>
    <xf numFmtId="0" fontId="6" fillId="0" borderId="0" xfId="4" applyFont="1" applyFill="1" applyBorder="1" applyAlignment="1" applyProtection="1">
      <alignment horizontal="center" vertical="center" wrapText="1"/>
    </xf>
    <xf numFmtId="172" fontId="0" fillId="0" borderId="0" xfId="4" applyNumberFormat="1" applyFont="1" applyFill="1" applyBorder="1" applyAlignment="1" applyProtection="1">
      <alignment horizontal="center"/>
    </xf>
    <xf numFmtId="172" fontId="0" fillId="0" borderId="0" xfId="4" applyNumberFormat="1" applyFont="1" applyFill="1" applyBorder="1" applyAlignment="1">
      <alignment horizontal="center"/>
    </xf>
    <xf numFmtId="172" fontId="13" fillId="0" borderId="0" xfId="4" applyNumberFormat="1" applyFont="1" applyFill="1" applyBorder="1" applyAlignment="1" applyProtection="1">
      <alignment horizontal="center"/>
    </xf>
    <xf numFmtId="172" fontId="6" fillId="0" borderId="0" xfId="4" applyNumberFormat="1" applyFont="1" applyFill="1" applyBorder="1" applyAlignment="1">
      <alignment horizontal="center"/>
    </xf>
    <xf numFmtId="0" fontId="46" fillId="0" borderId="48" xfId="10" applyFont="1" applyBorder="1"/>
    <xf numFmtId="0" fontId="46" fillId="0" borderId="48" xfId="10" applyFont="1" applyBorder="1" applyAlignment="1">
      <alignment horizontal="center"/>
    </xf>
    <xf numFmtId="0" fontId="46" fillId="0" borderId="49" xfId="10" applyFont="1" applyBorder="1" applyAlignment="1">
      <alignment horizontal="left"/>
    </xf>
    <xf numFmtId="174" fontId="46" fillId="0" borderId="19" xfId="10" applyNumberFormat="1" applyFont="1" applyBorder="1" applyAlignment="1" applyProtection="1">
      <alignment horizontal="left"/>
    </xf>
    <xf numFmtId="3" fontId="46" fillId="0" borderId="0" xfId="10" applyNumberFormat="1" applyFont="1" applyFill="1" applyBorder="1" applyAlignment="1" applyProtection="1">
      <alignment horizontal="center"/>
    </xf>
    <xf numFmtId="4" fontId="46" fillId="0" borderId="0" xfId="10" applyNumberFormat="1" applyFont="1" applyFill="1" applyBorder="1" applyAlignment="1" applyProtection="1">
      <alignment horizontal="center"/>
    </xf>
    <xf numFmtId="4" fontId="46" fillId="0" borderId="0" xfId="10" applyNumberFormat="1" applyFont="1" applyFill="1" applyBorder="1" applyProtection="1"/>
    <xf numFmtId="4" fontId="46" fillId="0" borderId="0" xfId="10" applyNumberFormat="1" applyFont="1" applyBorder="1" applyAlignment="1" applyProtection="1">
      <alignment horizontal="left"/>
    </xf>
    <xf numFmtId="4" fontId="46" fillId="0" borderId="0" xfId="9" applyNumberFormat="1" applyFont="1" applyBorder="1" applyAlignment="1"/>
    <xf numFmtId="4" fontId="7" fillId="0" borderId="0" xfId="10" applyNumberFormat="1" applyFont="1" applyBorder="1"/>
    <xf numFmtId="4" fontId="7" fillId="0" borderId="20" xfId="10" applyNumberFormat="1" applyFont="1" applyBorder="1" applyAlignment="1">
      <alignment horizontal="left"/>
    </xf>
    <xf numFmtId="0" fontId="46" fillId="0" borderId="19" xfId="10" applyFont="1" applyBorder="1"/>
    <xf numFmtId="0" fontId="46" fillId="0" borderId="0" xfId="10" applyFont="1" applyFill="1" applyBorder="1"/>
    <xf numFmtId="3" fontId="46" fillId="0" borderId="84" xfId="10" applyNumberFormat="1" applyFont="1" applyFill="1" applyBorder="1" applyAlignment="1" applyProtection="1">
      <alignment horizontal="center"/>
    </xf>
    <xf numFmtId="4" fontId="46" fillId="0" borderId="84" xfId="10" applyNumberFormat="1" applyFont="1" applyFill="1" applyBorder="1" applyAlignment="1" applyProtection="1">
      <alignment horizontal="center"/>
    </xf>
    <xf numFmtId="4" fontId="46" fillId="0" borderId="0" xfId="9" applyNumberFormat="1" applyFont="1" applyBorder="1"/>
    <xf numFmtId="4" fontId="46" fillId="0" borderId="84" xfId="10" applyNumberFormat="1" applyFont="1" applyFill="1" applyBorder="1"/>
    <xf numFmtId="4" fontId="46" fillId="0" borderId="84" xfId="10" applyNumberFormat="1" applyFont="1" applyFill="1" applyBorder="1" applyAlignment="1">
      <alignment horizontal="center"/>
    </xf>
    <xf numFmtId="4" fontId="46" fillId="0" borderId="20" xfId="10" applyNumberFormat="1" applyFont="1" applyBorder="1" applyAlignment="1" applyProtection="1">
      <alignment horizontal="left"/>
    </xf>
    <xf numFmtId="4" fontId="46" fillId="0" borderId="20" xfId="10" applyNumberFormat="1" applyFont="1" applyFill="1" applyBorder="1" applyAlignment="1" applyProtection="1">
      <alignment horizontal="left"/>
    </xf>
    <xf numFmtId="0" fontId="46" fillId="0" borderId="0" xfId="10" applyFont="1" applyBorder="1"/>
    <xf numFmtId="4" fontId="46" fillId="0" borderId="0" xfId="10" applyNumberFormat="1" applyFont="1" applyFill="1" applyBorder="1" applyAlignment="1">
      <alignment horizontal="center"/>
    </xf>
    <xf numFmtId="4" fontId="46" fillId="0" borderId="0" xfId="10" applyNumberFormat="1" applyFont="1" applyBorder="1"/>
    <xf numFmtId="4" fontId="46" fillId="0" borderId="20" xfId="10" applyNumberFormat="1" applyFont="1" applyFill="1" applyBorder="1" applyAlignment="1">
      <alignment horizontal="left"/>
    </xf>
    <xf numFmtId="0" fontId="46" fillId="0" borderId="19" xfId="10" applyFont="1" applyFill="1" applyBorder="1" applyAlignment="1" applyProtection="1">
      <alignment horizontal="right"/>
    </xf>
    <xf numFmtId="4" fontId="46" fillId="0" borderId="0" xfId="9" applyNumberFormat="1" applyFont="1" applyBorder="1" applyAlignment="1">
      <alignment horizontal="center"/>
    </xf>
    <xf numFmtId="4" fontId="46" fillId="0" borderId="20" xfId="10" applyNumberFormat="1" applyFont="1" applyBorder="1" applyAlignment="1">
      <alignment horizontal="left"/>
    </xf>
    <xf numFmtId="4" fontId="46" fillId="0" borderId="37" xfId="10" applyNumberFormat="1" applyFont="1" applyFill="1" applyBorder="1" applyProtection="1"/>
    <xf numFmtId="4" fontId="46" fillId="0" borderId="37" xfId="10" applyNumberFormat="1" applyFont="1" applyBorder="1" applyAlignment="1" applyProtection="1">
      <alignment horizontal="left"/>
    </xf>
    <xf numFmtId="0" fontId="46" fillId="0" borderId="0" xfId="10" applyFont="1" applyFill="1" applyBorder="1" applyAlignment="1" applyProtection="1"/>
    <xf numFmtId="4" fontId="46" fillId="0" borderId="87" xfId="10" applyNumberFormat="1" applyFont="1" applyFill="1" applyBorder="1" applyProtection="1"/>
    <xf numFmtId="4" fontId="46" fillId="0" borderId="87" xfId="10" applyNumberFormat="1" applyFont="1" applyFill="1" applyBorder="1" applyAlignment="1" applyProtection="1">
      <alignment horizontal="center"/>
    </xf>
    <xf numFmtId="4" fontId="46" fillId="0" borderId="0" xfId="10" applyNumberFormat="1" applyFont="1" applyFill="1" applyBorder="1"/>
    <xf numFmtId="0" fontId="46" fillId="0" borderId="0" xfId="9" applyFont="1" applyBorder="1"/>
    <xf numFmtId="4" fontId="46" fillId="0" borderId="0" xfId="10" applyNumberFormat="1" applyFont="1" applyFill="1" applyBorder="1" applyAlignment="1" applyProtection="1">
      <alignment horizontal="left"/>
    </xf>
    <xf numFmtId="4" fontId="46" fillId="0" borderId="0" xfId="10" applyNumberFormat="1" applyFont="1" applyFill="1" applyBorder="1" applyAlignment="1" applyProtection="1">
      <alignment horizontal="right"/>
    </xf>
    <xf numFmtId="177" fontId="6" fillId="0" borderId="23" xfId="11" applyNumberFormat="1" applyFont="1" applyFill="1" applyBorder="1" applyAlignment="1" applyProtection="1">
      <alignment horizontal="left"/>
    </xf>
    <xf numFmtId="4" fontId="46" fillId="0" borderId="24" xfId="10" applyNumberFormat="1" applyFont="1" applyFill="1" applyBorder="1" applyAlignment="1" applyProtection="1">
      <alignment horizontal="center"/>
    </xf>
    <xf numFmtId="0" fontId="46" fillId="0" borderId="19" xfId="10" applyFont="1" applyBorder="1" applyAlignment="1" applyProtection="1">
      <alignment horizontal="right"/>
    </xf>
    <xf numFmtId="4" fontId="7" fillId="0" borderId="20" xfId="10" applyNumberFormat="1" applyFont="1" applyBorder="1"/>
    <xf numFmtId="4" fontId="46" fillId="2" borderId="0" xfId="10" applyNumberFormat="1" applyFont="1" applyFill="1" applyBorder="1" applyProtection="1"/>
    <xf numFmtId="4" fontId="46" fillId="0" borderId="37" xfId="9" applyNumberFormat="1" applyFont="1" applyBorder="1" applyAlignment="1"/>
    <xf numFmtId="4" fontId="46" fillId="2" borderId="0" xfId="9" applyNumberFormat="1" applyFont="1" applyFill="1" applyBorder="1"/>
    <xf numFmtId="4" fontId="46" fillId="2" borderId="0" xfId="10" applyNumberFormat="1" applyFont="1" applyFill="1" applyBorder="1"/>
    <xf numFmtId="4" fontId="46" fillId="2" borderId="0" xfId="10" applyNumberFormat="1" applyFont="1" applyFill="1" applyBorder="1" applyAlignment="1" applyProtection="1">
      <alignment horizontal="center"/>
    </xf>
    <xf numFmtId="4" fontId="46" fillId="2" borderId="24" xfId="10" applyNumberFormat="1" applyFont="1" applyFill="1" applyBorder="1" applyAlignment="1" applyProtection="1">
      <alignment horizontal="center"/>
    </xf>
    <xf numFmtId="4" fontId="46" fillId="0" borderId="0" xfId="9" applyNumberFormat="1" applyFont="1"/>
    <xf numFmtId="0" fontId="7" fillId="2" borderId="19" xfId="10" applyFont="1" applyFill="1" applyBorder="1" applyAlignment="1" applyProtection="1"/>
    <xf numFmtId="0" fontId="7" fillId="2" borderId="0" xfId="10" applyFont="1" applyFill="1" applyBorder="1" applyAlignment="1" applyProtection="1"/>
    <xf numFmtId="4" fontId="46" fillId="0" borderId="48" xfId="10" applyNumberFormat="1" applyFont="1" applyBorder="1" applyAlignment="1">
      <alignment horizontal="center"/>
    </xf>
    <xf numFmtId="4" fontId="46" fillId="0" borderId="48" xfId="10" applyNumberFormat="1" applyFont="1" applyBorder="1"/>
    <xf numFmtId="4" fontId="46" fillId="0" borderId="49" xfId="10" applyNumberFormat="1" applyFont="1" applyBorder="1" applyAlignment="1">
      <alignment horizontal="left"/>
    </xf>
    <xf numFmtId="4" fontId="46" fillId="2" borderId="0" xfId="9" applyNumberFormat="1" applyFont="1" applyFill="1" applyBorder="1" applyAlignment="1">
      <alignment horizontal="center"/>
    </xf>
    <xf numFmtId="4" fontId="46" fillId="2" borderId="0" xfId="10" applyNumberFormat="1" applyFont="1" applyFill="1" applyBorder="1" applyAlignment="1" applyProtection="1">
      <alignment horizontal="right"/>
    </xf>
    <xf numFmtId="4" fontId="46" fillId="2" borderId="0" xfId="10" applyNumberFormat="1" applyFont="1" applyFill="1" applyBorder="1" applyAlignment="1" applyProtection="1">
      <alignment horizontal="left"/>
    </xf>
    <xf numFmtId="4" fontId="46" fillId="2" borderId="20" xfId="10" applyNumberFormat="1" applyFont="1" applyFill="1" applyBorder="1" applyAlignment="1" applyProtection="1">
      <alignment horizontal="left"/>
    </xf>
    <xf numFmtId="0" fontId="46" fillId="2" borderId="0" xfId="10" applyFont="1" applyFill="1" applyBorder="1"/>
    <xf numFmtId="4" fontId="46" fillId="2" borderId="87" xfId="10" applyNumberFormat="1" applyFont="1" applyFill="1" applyBorder="1" applyAlignment="1" applyProtection="1">
      <alignment horizontal="center"/>
    </xf>
    <xf numFmtId="4" fontId="46" fillId="2" borderId="22" xfId="10" applyNumberFormat="1" applyFont="1" applyFill="1" applyBorder="1" applyAlignment="1" applyProtection="1">
      <alignment horizontal="left"/>
    </xf>
    <xf numFmtId="4" fontId="7" fillId="2" borderId="19" xfId="10" applyNumberFormat="1" applyFont="1" applyFill="1" applyBorder="1" applyAlignment="1" applyProtection="1">
      <alignment horizontal="left"/>
    </xf>
    <xf numFmtId="2" fontId="46" fillId="2" borderId="0" xfId="0" applyNumberFormat="1" applyFont="1" applyFill="1" applyBorder="1" applyAlignment="1">
      <alignment horizontal="right"/>
    </xf>
    <xf numFmtId="2" fontId="46" fillId="2" borderId="0" xfId="0" applyNumberFormat="1" applyFont="1" applyFill="1" applyBorder="1"/>
    <xf numFmtId="2" fontId="46" fillId="2" borderId="0" xfId="0" applyNumberFormat="1" applyFont="1" applyFill="1" applyBorder="1" applyAlignment="1">
      <alignment horizontal="center" vertical="center"/>
    </xf>
    <xf numFmtId="2" fontId="46" fillId="2" borderId="20" xfId="0" applyNumberFormat="1" applyFont="1" applyFill="1" applyBorder="1" applyAlignment="1">
      <alignment horizontal="center" vertical="center"/>
    </xf>
    <xf numFmtId="0" fontId="46" fillId="2" borderId="19" xfId="0" applyFont="1" applyFill="1" applyBorder="1"/>
    <xf numFmtId="2" fontId="46" fillId="2" borderId="82" xfId="0" applyNumberFormat="1" applyFont="1" applyFill="1" applyBorder="1" applyAlignment="1">
      <alignment horizontal="center" vertical="center"/>
    </xf>
    <xf numFmtId="2" fontId="46" fillId="2" borderId="83" xfId="0" applyNumberFormat="1" applyFont="1" applyFill="1" applyBorder="1" applyAlignment="1">
      <alignment horizontal="center" vertical="center"/>
    </xf>
    <xf numFmtId="2" fontId="46" fillId="0" borderId="82" xfId="0" applyNumberFormat="1" applyFont="1" applyFill="1" applyBorder="1" applyAlignment="1">
      <alignment horizontal="right"/>
    </xf>
    <xf numFmtId="2" fontId="46" fillId="0" borderId="82" xfId="0" applyNumberFormat="1" applyFont="1" applyFill="1" applyBorder="1"/>
    <xf numFmtId="2" fontId="46" fillId="0" borderId="82" xfId="0" applyNumberFormat="1" applyFont="1" applyFill="1" applyBorder="1" applyAlignment="1">
      <alignment horizontal="center"/>
    </xf>
    <xf numFmtId="2" fontId="46" fillId="0" borderId="83" xfId="0" applyNumberFormat="1" applyFont="1" applyFill="1" applyBorder="1"/>
    <xf numFmtId="2" fontId="46" fillId="0" borderId="0" xfId="0" applyNumberFormat="1" applyFont="1" applyFill="1" applyBorder="1" applyAlignment="1">
      <alignment horizontal="right"/>
    </xf>
    <xf numFmtId="2" fontId="46" fillId="0" borderId="0" xfId="0" applyNumberFormat="1" applyFont="1" applyFill="1" applyBorder="1"/>
    <xf numFmtId="0" fontId="46" fillId="0" borderId="19" xfId="0" applyFont="1" applyFill="1" applyBorder="1"/>
    <xf numFmtId="2" fontId="46" fillId="0" borderId="0" xfId="0" applyNumberFormat="1" applyFont="1" applyFill="1" applyBorder="1" applyAlignment="1">
      <alignment horizontal="center" vertical="center"/>
    </xf>
    <xf numFmtId="2" fontId="46" fillId="0" borderId="20" xfId="0" applyNumberFormat="1" applyFont="1" applyFill="1" applyBorder="1" applyAlignment="1">
      <alignment horizontal="center" vertical="center"/>
    </xf>
    <xf numFmtId="2" fontId="46" fillId="0" borderId="37" xfId="0" applyNumberFormat="1" applyFont="1" applyFill="1" applyBorder="1" applyAlignment="1">
      <alignment horizontal="center" vertical="center"/>
    </xf>
    <xf numFmtId="0" fontId="46" fillId="0" borderId="91" xfId="0" applyFont="1" applyFill="1" applyBorder="1"/>
    <xf numFmtId="2" fontId="46" fillId="0" borderId="21" xfId="0" applyNumberFormat="1" applyFont="1" applyFill="1" applyBorder="1" applyAlignment="1">
      <alignment horizontal="center" vertical="center"/>
    </xf>
    <xf numFmtId="2" fontId="46" fillId="0" borderId="29" xfId="0" applyNumberFormat="1" applyFont="1" applyFill="1" applyBorder="1" applyAlignment="1">
      <alignment horizontal="center" vertical="center"/>
    </xf>
    <xf numFmtId="2" fontId="46" fillId="0" borderId="30" xfId="0" applyNumberFormat="1" applyFont="1" applyFill="1" applyBorder="1" applyAlignment="1">
      <alignment horizontal="center" vertical="center"/>
    </xf>
    <xf numFmtId="0" fontId="46" fillId="0" borderId="92" xfId="0" applyFont="1" applyFill="1" applyBorder="1"/>
    <xf numFmtId="0" fontId="46" fillId="0" borderId="19" xfId="12" applyFont="1" applyFill="1" applyBorder="1"/>
    <xf numFmtId="2" fontId="46" fillId="0" borderId="0" xfId="12" applyNumberFormat="1" applyFont="1" applyFill="1" applyBorder="1" applyAlignment="1">
      <alignment horizontal="center" vertical="center"/>
    </xf>
    <xf numFmtId="2" fontId="46" fillId="0" borderId="20" xfId="12" applyNumberFormat="1" applyFont="1" applyFill="1" applyBorder="1" applyAlignment="1">
      <alignment horizontal="center" vertical="center"/>
    </xf>
    <xf numFmtId="2" fontId="46" fillId="0" borderId="37" xfId="12" applyNumberFormat="1" applyFont="1" applyFill="1" applyBorder="1" applyAlignment="1">
      <alignment horizontal="center" vertical="center"/>
    </xf>
    <xf numFmtId="0" fontId="46" fillId="0" borderId="23" xfId="0" applyFont="1" applyFill="1" applyBorder="1"/>
    <xf numFmtId="2" fontId="46" fillId="0" borderId="24" xfId="0" applyNumberFormat="1" applyFont="1" applyFill="1" applyBorder="1" applyAlignment="1">
      <alignment horizontal="right"/>
    </xf>
    <xf numFmtId="2" fontId="46" fillId="0" borderId="24" xfId="0" applyNumberFormat="1" applyFont="1" applyFill="1" applyBorder="1"/>
    <xf numFmtId="2" fontId="46" fillId="0" borderId="24" xfId="0" applyNumberFormat="1" applyFont="1" applyFill="1" applyBorder="1" applyAlignment="1">
      <alignment horizontal="center"/>
    </xf>
    <xf numFmtId="2" fontId="46" fillId="0" borderId="26" xfId="0" applyNumberFormat="1" applyFont="1" applyFill="1" applyBorder="1"/>
    <xf numFmtId="2" fontId="6" fillId="0" borderId="0" xfId="9" applyNumberFormat="1" applyFont="1" applyBorder="1" applyAlignment="1">
      <alignment horizontal="center"/>
    </xf>
    <xf numFmtId="0" fontId="6" fillId="0" borderId="19" xfId="0" applyFont="1" applyBorder="1" applyAlignment="1">
      <alignment horizontal="right"/>
    </xf>
    <xf numFmtId="0" fontId="6" fillId="0" borderId="0" xfId="0" applyFont="1" applyBorder="1" applyAlignment="1">
      <alignment horizontal="left" indent="1"/>
    </xf>
    <xf numFmtId="0" fontId="6" fillId="0" borderId="0" xfId="0" applyFont="1" applyBorder="1" applyAlignment="1">
      <alignment horizontal="center"/>
    </xf>
    <xf numFmtId="0" fontId="46" fillId="0" borderId="0" xfId="10" applyNumberFormat="1" applyFont="1" applyBorder="1" applyAlignment="1">
      <alignment horizontal="center"/>
    </xf>
    <xf numFmtId="2" fontId="46" fillId="0" borderId="0" xfId="10" applyNumberFormat="1" applyFont="1" applyBorder="1" applyAlignment="1">
      <alignment horizontal="center"/>
    </xf>
    <xf numFmtId="2" fontId="46" fillId="0" borderId="20" xfId="10" applyNumberFormat="1" applyFont="1" applyFill="1" applyBorder="1" applyAlignment="1" applyProtection="1">
      <alignment horizontal="center"/>
    </xf>
    <xf numFmtId="0" fontId="46" fillId="0" borderId="47" xfId="0" applyFont="1" applyBorder="1"/>
    <xf numFmtId="0" fontId="46" fillId="0" borderId="48" xfId="0" applyFont="1" applyBorder="1"/>
    <xf numFmtId="0" fontId="46" fillId="0" borderId="48" xfId="0" applyFont="1" applyBorder="1" applyAlignment="1">
      <alignment horizontal="center"/>
    </xf>
    <xf numFmtId="0" fontId="46" fillId="0" borderId="49" xfId="0" applyFont="1" applyBorder="1"/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46" fillId="0" borderId="20" xfId="0" applyFont="1" applyBorder="1"/>
    <xf numFmtId="0" fontId="46" fillId="0" borderId="19" xfId="0" applyFont="1" applyBorder="1"/>
    <xf numFmtId="2" fontId="46" fillId="0" borderId="0" xfId="0" applyNumberFormat="1" applyFont="1" applyBorder="1" applyAlignment="1">
      <alignment horizontal="center"/>
    </xf>
    <xf numFmtId="0" fontId="46" fillId="0" borderId="19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2" fontId="46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80" fontId="46" fillId="0" borderId="0" xfId="0" applyNumberFormat="1" applyFont="1" applyBorder="1" applyAlignment="1">
      <alignment horizontal="center" vertical="center"/>
    </xf>
    <xf numFmtId="0" fontId="46" fillId="0" borderId="20" xfId="0" applyFont="1" applyBorder="1" applyAlignment="1">
      <alignment vertical="center"/>
    </xf>
    <xf numFmtId="3" fontId="46" fillId="0" borderId="84" xfId="0" applyNumberFormat="1" applyFont="1" applyBorder="1" applyAlignment="1">
      <alignment horizontal="center"/>
    </xf>
    <xf numFmtId="180" fontId="46" fillId="0" borderId="0" xfId="0" applyNumberFormat="1" applyFont="1" applyBorder="1" applyAlignment="1">
      <alignment horizontal="center"/>
    </xf>
    <xf numFmtId="180" fontId="46" fillId="0" borderId="84" xfId="0" applyNumberFormat="1" applyFont="1" applyBorder="1"/>
    <xf numFmtId="0" fontId="46" fillId="0" borderId="0" xfId="0" applyFont="1" applyAlignment="1">
      <alignment horizontal="center"/>
    </xf>
    <xf numFmtId="2" fontId="46" fillId="0" borderId="0" xfId="0" applyNumberFormat="1" applyFont="1" applyBorder="1"/>
    <xf numFmtId="180" fontId="46" fillId="0" borderId="84" xfId="0" applyNumberFormat="1" applyFont="1" applyBorder="1" applyAlignment="1">
      <alignment horizontal="center" vertical="center"/>
    </xf>
    <xf numFmtId="0" fontId="46" fillId="0" borderId="0" xfId="0" applyFont="1"/>
    <xf numFmtId="4" fontId="46" fillId="0" borderId="0" xfId="0" applyNumberFormat="1" applyFont="1" applyBorder="1"/>
    <xf numFmtId="0" fontId="46" fillId="0" borderId="23" xfId="0" applyFont="1" applyBorder="1"/>
    <xf numFmtId="0" fontId="46" fillId="0" borderId="24" xfId="0" applyFont="1" applyBorder="1"/>
    <xf numFmtId="0" fontId="46" fillId="0" borderId="24" xfId="0" applyFont="1" applyBorder="1" applyAlignment="1">
      <alignment horizontal="center"/>
    </xf>
    <xf numFmtId="0" fontId="46" fillId="0" borderId="26" xfId="0" applyFont="1" applyBorder="1"/>
    <xf numFmtId="181" fontId="46" fillId="0" borderId="0" xfId="0" applyNumberFormat="1" applyFont="1" applyBorder="1" applyAlignment="1">
      <alignment horizontal="center"/>
    </xf>
    <xf numFmtId="180" fontId="46" fillId="0" borderId="84" xfId="0" applyNumberFormat="1" applyFont="1" applyBorder="1" applyAlignment="1">
      <alignment horizontal="center"/>
    </xf>
    <xf numFmtId="2" fontId="46" fillId="0" borderId="37" xfId="0" applyNumberFormat="1" applyFont="1" applyBorder="1"/>
    <xf numFmtId="0" fontId="46" fillId="0" borderId="37" xfId="0" applyFont="1" applyBorder="1"/>
    <xf numFmtId="0" fontId="7" fillId="0" borderId="19" xfId="9" applyFont="1" applyBorder="1"/>
    <xf numFmtId="0" fontId="7" fillId="0" borderId="0" xfId="9" applyFont="1" applyBorder="1"/>
    <xf numFmtId="0" fontId="7" fillId="0" borderId="0" xfId="9" applyFont="1" applyBorder="1" applyAlignment="1">
      <alignment horizontal="right"/>
    </xf>
    <xf numFmtId="0" fontId="7" fillId="0" borderId="20" xfId="9" applyFont="1" applyBorder="1" applyAlignment="1">
      <alignment horizontal="left"/>
    </xf>
    <xf numFmtId="2" fontId="7" fillId="2" borderId="19" xfId="10" applyNumberFormat="1" applyFont="1" applyFill="1" applyBorder="1" applyAlignment="1" applyProtection="1"/>
    <xf numFmtId="4" fontId="7" fillId="2" borderId="19" xfId="10" applyNumberFormat="1" applyFont="1" applyFill="1" applyBorder="1" applyAlignment="1" applyProtection="1"/>
    <xf numFmtId="4" fontId="46" fillId="0" borderId="0" xfId="10" applyNumberFormat="1" applyFont="1" applyBorder="1" applyAlignment="1">
      <alignment horizontal="center" vertical="center"/>
    </xf>
    <xf numFmtId="4" fontId="46" fillId="0" borderId="0" xfId="10" applyNumberFormat="1" applyFont="1" applyBorder="1" applyAlignment="1">
      <alignment vertical="center"/>
    </xf>
    <xf numFmtId="4" fontId="46" fillId="0" borderId="0" xfId="9" applyNumberFormat="1" applyFont="1" applyBorder="1" applyAlignment="1">
      <alignment vertical="center"/>
    </xf>
    <xf numFmtId="4" fontId="46" fillId="0" borderId="0" xfId="10" applyNumberFormat="1" applyFont="1" applyBorder="1" applyAlignment="1">
      <alignment horizontal="left" vertical="center"/>
    </xf>
    <xf numFmtId="4" fontId="46" fillId="0" borderId="103" xfId="10" applyNumberFormat="1" applyFont="1" applyFill="1" applyBorder="1" applyProtection="1"/>
    <xf numFmtId="4" fontId="46" fillId="0" borderId="102" xfId="10" applyNumberFormat="1" applyFont="1" applyFill="1" applyBorder="1" applyProtection="1"/>
    <xf numFmtId="4" fontId="46" fillId="0" borderId="102" xfId="10" applyNumberFormat="1" applyFont="1" applyFill="1" applyBorder="1" applyAlignment="1" applyProtection="1">
      <alignment horizontal="center"/>
    </xf>
    <xf numFmtId="4" fontId="46" fillId="2" borderId="102" xfId="10" applyNumberFormat="1" applyFont="1" applyFill="1" applyBorder="1" applyAlignment="1" applyProtection="1">
      <alignment horizontal="center"/>
    </xf>
    <xf numFmtId="4" fontId="46" fillId="2" borderId="104" xfId="10" applyNumberFormat="1" applyFont="1" applyFill="1" applyBorder="1" applyAlignment="1" applyProtection="1">
      <alignment horizontal="left"/>
    </xf>
    <xf numFmtId="4" fontId="46" fillId="0" borderId="0" xfId="10" applyNumberFormat="1" applyFont="1" applyBorder="1" applyAlignment="1" applyProtection="1">
      <alignment horizontal="center"/>
    </xf>
    <xf numFmtId="4" fontId="46" fillId="0" borderId="109" xfId="10" applyNumberFormat="1" applyFont="1" applyFill="1" applyBorder="1" applyProtection="1"/>
    <xf numFmtId="4" fontId="7" fillId="2" borderId="6" xfId="66" applyNumberFormat="1" applyFont="1" applyFill="1" applyBorder="1" applyAlignment="1">
      <alignment horizontal="center"/>
    </xf>
    <xf numFmtId="4" fontId="7" fillId="0" borderId="19" xfId="10" applyNumberFormat="1" applyFont="1" applyFill="1" applyBorder="1" applyAlignment="1" applyProtection="1">
      <alignment horizontal="left"/>
    </xf>
    <xf numFmtId="4" fontId="46" fillId="0" borderId="0" xfId="9" applyNumberFormat="1" applyFont="1" applyFill="1" applyBorder="1" applyAlignment="1">
      <alignment horizontal="center"/>
    </xf>
    <xf numFmtId="1" fontId="7" fillId="0" borderId="70" xfId="10" applyNumberFormat="1" applyFont="1" applyFill="1" applyBorder="1" applyAlignment="1" applyProtection="1">
      <alignment horizontal="center"/>
    </xf>
    <xf numFmtId="2" fontId="7" fillId="0" borderId="70" xfId="9" applyNumberFormat="1" applyFont="1" applyBorder="1" applyAlignment="1">
      <alignment horizontal="center"/>
    </xf>
    <xf numFmtId="0" fontId="46" fillId="0" borderId="0" xfId="10" applyFont="1" applyFill="1" applyBorder="1" applyAlignment="1">
      <alignment horizontal="right"/>
    </xf>
    <xf numFmtId="2" fontId="46" fillId="0" borderId="0" xfId="10" applyNumberFormat="1" applyFont="1" applyFill="1" applyBorder="1" applyAlignment="1">
      <alignment horizontal="center"/>
    </xf>
    <xf numFmtId="2" fontId="46" fillId="0" borderId="0" xfId="10" applyNumberFormat="1" applyFont="1" applyFill="1" applyBorder="1"/>
    <xf numFmtId="2" fontId="46" fillId="0" borderId="0" xfId="10" applyNumberFormat="1" applyFont="1" applyFill="1" applyBorder="1" applyProtection="1"/>
    <xf numFmtId="2" fontId="46" fillId="0" borderId="20" xfId="10" applyNumberFormat="1" applyFont="1" applyFill="1" applyBorder="1" applyAlignment="1">
      <alignment horizontal="left"/>
    </xf>
    <xf numFmtId="0" fontId="46" fillId="0" borderId="0" xfId="9" applyFont="1" applyFill="1"/>
    <xf numFmtId="2" fontId="46" fillId="0" borderId="0" xfId="9" applyNumberFormat="1" applyFont="1" applyFill="1" applyBorder="1"/>
    <xf numFmtId="2" fontId="46" fillId="0" borderId="20" xfId="9" applyNumberFormat="1" applyFont="1" applyFill="1" applyBorder="1"/>
    <xf numFmtId="0" fontId="13" fillId="0" borderId="0" xfId="10" applyFont="1" applyFill="1" applyBorder="1" applyAlignment="1">
      <alignment horizontal="right"/>
    </xf>
    <xf numFmtId="2" fontId="46" fillId="0" borderId="0" xfId="10" applyNumberFormat="1" applyFont="1" applyFill="1" applyBorder="1" applyAlignment="1" applyProtection="1">
      <alignment horizontal="center"/>
    </xf>
    <xf numFmtId="2" fontId="46" fillId="0" borderId="70" xfId="10" applyNumberFormat="1" applyFont="1" applyFill="1" applyBorder="1" applyAlignment="1" applyProtection="1">
      <alignment horizontal="center"/>
    </xf>
    <xf numFmtId="2" fontId="46" fillId="0" borderId="127" xfId="9" applyNumberFormat="1" applyFont="1" applyFill="1" applyBorder="1"/>
    <xf numFmtId="0" fontId="46" fillId="0" borderId="19" xfId="10" applyFont="1" applyFill="1" applyBorder="1"/>
    <xf numFmtId="2" fontId="7" fillId="0" borderId="0" xfId="10" applyNumberFormat="1" applyFont="1" applyFill="1" applyBorder="1"/>
    <xf numFmtId="0" fontId="7" fillId="2" borderId="0" xfId="66" applyFont="1" applyFill="1" applyBorder="1"/>
    <xf numFmtId="0" fontId="7" fillId="0" borderId="19" xfId="66" applyFont="1" applyFill="1" applyBorder="1"/>
    <xf numFmtId="0" fontId="7" fillId="0" borderId="0" xfId="66" applyFont="1" applyFill="1" applyBorder="1"/>
    <xf numFmtId="2" fontId="7" fillId="0" borderId="0" xfId="66" applyNumberFormat="1" applyFont="1" applyFill="1" applyBorder="1"/>
    <xf numFmtId="2" fontId="7" fillId="0" borderId="0" xfId="66" applyNumberFormat="1" applyFont="1" applyFill="1" applyBorder="1" applyAlignment="1">
      <alignment horizontal="center"/>
    </xf>
    <xf numFmtId="2" fontId="7" fillId="0" borderId="20" xfId="66" applyNumberFormat="1" applyFont="1" applyFill="1" applyBorder="1"/>
    <xf numFmtId="2" fontId="46" fillId="0" borderId="0" xfId="10" applyNumberFormat="1" applyFont="1" applyFill="1" applyBorder="1" applyAlignment="1" applyProtection="1">
      <alignment horizontal="left"/>
    </xf>
    <xf numFmtId="0" fontId="46" fillId="0" borderId="19" xfId="10" applyFont="1" applyFill="1" applyBorder="1" applyAlignment="1" applyProtection="1"/>
    <xf numFmtId="0" fontId="46" fillId="0" borderId="0" xfId="10" applyFont="1" applyFill="1" applyBorder="1" applyAlignment="1" applyProtection="1">
      <alignment horizontal="right"/>
    </xf>
    <xf numFmtId="2" fontId="46" fillId="0" borderId="20" xfId="10" applyNumberFormat="1" applyFont="1" applyFill="1" applyBorder="1" applyAlignment="1" applyProtection="1">
      <alignment horizontal="left"/>
    </xf>
    <xf numFmtId="0" fontId="46" fillId="0" borderId="23" xfId="10" applyFont="1" applyFill="1" applyBorder="1" applyAlignment="1" applyProtection="1"/>
    <xf numFmtId="0" fontId="46" fillId="0" borderId="24" xfId="10" applyFont="1" applyFill="1" applyBorder="1"/>
    <xf numFmtId="0" fontId="46" fillId="0" borderId="24" xfId="10" applyFont="1" applyFill="1" applyBorder="1" applyAlignment="1">
      <alignment horizontal="right"/>
    </xf>
    <xf numFmtId="2" fontId="46" fillId="0" borderId="24" xfId="10" applyNumberFormat="1" applyFont="1" applyFill="1" applyBorder="1" applyAlignment="1">
      <alignment horizontal="center"/>
    </xf>
    <xf numFmtId="2" fontId="46" fillId="0" borderId="24" xfId="10" applyNumberFormat="1" applyFont="1" applyFill="1" applyBorder="1"/>
    <xf numFmtId="2" fontId="46" fillId="0" borderId="24" xfId="10" applyNumberFormat="1" applyFont="1" applyFill="1" applyBorder="1" applyProtection="1"/>
    <xf numFmtId="2" fontId="46" fillId="0" borderId="26" xfId="10" applyNumberFormat="1" applyFont="1" applyFill="1" applyBorder="1" applyAlignment="1" applyProtection="1">
      <alignment horizontal="left"/>
    </xf>
    <xf numFmtId="0" fontId="46" fillId="0" borderId="48" xfId="10" applyFont="1" applyFill="1" applyBorder="1" applyAlignment="1" applyProtection="1"/>
    <xf numFmtId="0" fontId="46" fillId="0" borderId="48" xfId="10" applyFont="1" applyFill="1" applyBorder="1"/>
    <xf numFmtId="0" fontId="46" fillId="0" borderId="48" xfId="10" applyFont="1" applyFill="1" applyBorder="1" applyAlignment="1">
      <alignment horizontal="right"/>
    </xf>
    <xf numFmtId="2" fontId="46" fillId="0" borderId="48" xfId="10" applyNumberFormat="1" applyFont="1" applyFill="1" applyBorder="1" applyAlignment="1">
      <alignment horizontal="center"/>
    </xf>
    <xf numFmtId="2" fontId="46" fillId="0" borderId="48" xfId="10" applyNumberFormat="1" applyFont="1" applyFill="1" applyBorder="1"/>
    <xf numFmtId="2" fontId="46" fillId="0" borderId="48" xfId="10" applyNumberFormat="1" applyFont="1" applyFill="1" applyBorder="1" applyProtection="1"/>
    <xf numFmtId="2" fontId="46" fillId="0" borderId="48" xfId="10" applyNumberFormat="1" applyFont="1" applyFill="1" applyBorder="1" applyAlignment="1" applyProtection="1">
      <alignment horizontal="left"/>
    </xf>
    <xf numFmtId="1" fontId="7" fillId="2" borderId="0" xfId="10" applyNumberFormat="1" applyFont="1" applyFill="1" applyBorder="1" applyAlignment="1" applyProtection="1">
      <alignment horizontal="right"/>
    </xf>
    <xf numFmtId="2" fontId="46" fillId="0" borderId="0" xfId="10" applyNumberFormat="1" applyFont="1" applyFill="1" applyBorder="1" applyAlignment="1" applyProtection="1">
      <alignment horizontal="right"/>
    </xf>
    <xf numFmtId="1" fontId="46" fillId="0" borderId="0" xfId="10" applyNumberFormat="1" applyFont="1" applyFill="1" applyBorder="1" applyAlignment="1" applyProtection="1">
      <alignment horizontal="center"/>
    </xf>
    <xf numFmtId="2" fontId="6" fillId="0" borderId="0" xfId="10" applyNumberFormat="1" applyFont="1" applyFill="1" applyBorder="1" applyProtection="1"/>
    <xf numFmtId="2" fontId="6" fillId="0" borderId="20" xfId="10" applyNumberFormat="1" applyFont="1" applyFill="1" applyBorder="1" applyAlignment="1" applyProtection="1">
      <alignment horizontal="left"/>
    </xf>
    <xf numFmtId="0" fontId="48" fillId="0" borderId="19" xfId="10" applyFont="1" applyFill="1" applyBorder="1" applyAlignment="1" applyProtection="1">
      <alignment horizontal="center" vertical="center"/>
    </xf>
    <xf numFmtId="0" fontId="7" fillId="2" borderId="0" xfId="10" applyFont="1" applyFill="1" applyBorder="1" applyAlignment="1">
      <alignment horizontal="center" vertical="center"/>
    </xf>
    <xf numFmtId="2" fontId="7" fillId="2" borderId="0" xfId="10" applyNumberFormat="1" applyFont="1" applyFill="1" applyBorder="1" applyAlignment="1" applyProtection="1">
      <alignment horizontal="center" vertical="center"/>
    </xf>
    <xf numFmtId="2" fontId="7" fillId="2" borderId="0" xfId="9" applyNumberFormat="1" applyFont="1" applyFill="1" applyBorder="1" applyAlignment="1">
      <alignment horizontal="center" vertical="center"/>
    </xf>
    <xf numFmtId="2" fontId="7" fillId="2" borderId="20" xfId="10" applyNumberFormat="1" applyFont="1" applyFill="1" applyBorder="1" applyAlignment="1" applyProtection="1">
      <alignment horizontal="center" vertical="center"/>
    </xf>
    <xf numFmtId="2" fontId="49" fillId="2" borderId="0" xfId="10" applyNumberFormat="1" applyFont="1" applyFill="1" applyBorder="1" applyAlignment="1" applyProtection="1">
      <alignment horizontal="left" vertical="center"/>
    </xf>
    <xf numFmtId="2" fontId="7" fillId="2" borderId="0" xfId="10" applyNumberFormat="1" applyFont="1" applyFill="1" applyBorder="1" applyAlignment="1" applyProtection="1">
      <alignment horizontal="right" vertical="center"/>
    </xf>
    <xf numFmtId="2" fontId="7" fillId="0" borderId="0" xfId="10" applyNumberFormat="1" applyFont="1" applyFill="1" applyBorder="1" applyProtection="1"/>
    <xf numFmtId="172" fontId="46" fillId="0" borderId="0" xfId="10" applyNumberFormat="1" applyFont="1" applyFill="1" applyBorder="1" applyAlignment="1" applyProtection="1">
      <alignment horizontal="right"/>
    </xf>
    <xf numFmtId="2" fontId="7" fillId="0" borderId="20" xfId="10" applyNumberFormat="1" applyFont="1" applyFill="1" applyBorder="1"/>
    <xf numFmtId="0" fontId="46" fillId="0" borderId="24" xfId="9" applyFont="1" applyFill="1" applyBorder="1"/>
    <xf numFmtId="178" fontId="46" fillId="0" borderId="24" xfId="10" applyNumberFormat="1" applyFont="1" applyFill="1" applyBorder="1" applyAlignment="1" applyProtection="1">
      <alignment horizontal="right"/>
    </xf>
    <xf numFmtId="2" fontId="46" fillId="0" borderId="24" xfId="10" applyNumberFormat="1" applyFont="1" applyFill="1" applyBorder="1" applyAlignment="1" applyProtection="1">
      <alignment horizontal="center"/>
    </xf>
    <xf numFmtId="2" fontId="6" fillId="0" borderId="24" xfId="10" applyNumberFormat="1" applyFont="1" applyFill="1" applyBorder="1" applyProtection="1"/>
    <xf numFmtId="2" fontId="6" fillId="0" borderId="26" xfId="10" applyNumberFormat="1" applyFont="1" applyFill="1" applyBorder="1" applyAlignment="1" applyProtection="1">
      <alignment horizontal="left"/>
    </xf>
    <xf numFmtId="0" fontId="0" fillId="0" borderId="81" xfId="9" applyFont="1" applyBorder="1"/>
    <xf numFmtId="170" fontId="46" fillId="2" borderId="53" xfId="6" applyNumberFormat="1" applyFont="1" applyFill="1" applyBorder="1" applyAlignment="1">
      <alignment horizontal="center"/>
    </xf>
    <xf numFmtId="2" fontId="46" fillId="0" borderId="70" xfId="10" applyNumberFormat="1" applyFont="1" applyFill="1" applyBorder="1" applyProtection="1"/>
    <xf numFmtId="2" fontId="46" fillId="0" borderId="70" xfId="10" applyNumberFormat="1" applyFont="1" applyFill="1" applyBorder="1" applyAlignment="1" applyProtection="1">
      <alignment horizontal="left"/>
    </xf>
    <xf numFmtId="2" fontId="46" fillId="0" borderId="70" xfId="10" applyNumberFormat="1" applyFont="1" applyFill="1" applyBorder="1"/>
    <xf numFmtId="2" fontId="7" fillId="0" borderId="0" xfId="10" applyNumberFormat="1" applyFont="1" applyFill="1" applyBorder="1" applyAlignment="1" applyProtection="1">
      <alignment horizontal="center" vertical="center"/>
    </xf>
    <xf numFmtId="0" fontId="7" fillId="2" borderId="0" xfId="10" applyFont="1" applyFill="1" applyBorder="1" applyAlignment="1">
      <alignment vertical="center"/>
    </xf>
    <xf numFmtId="0" fontId="7" fillId="2" borderId="0" xfId="10" applyNumberFormat="1" applyFont="1" applyFill="1" applyBorder="1" applyAlignment="1">
      <alignment horizontal="right" vertical="center"/>
    </xf>
    <xf numFmtId="2" fontId="7" fillId="2" borderId="0" xfId="10" applyNumberFormat="1" applyFont="1" applyFill="1" applyBorder="1" applyAlignment="1">
      <alignment horizontal="center" vertical="center"/>
    </xf>
    <xf numFmtId="2" fontId="7" fillId="2" borderId="0" xfId="10" applyNumberFormat="1" applyFont="1" applyFill="1" applyBorder="1" applyAlignment="1">
      <alignment vertical="center"/>
    </xf>
    <xf numFmtId="2" fontId="7" fillId="2" borderId="0" xfId="10" applyNumberFormat="1" applyFont="1" applyFill="1" applyBorder="1" applyAlignment="1" applyProtection="1">
      <alignment vertical="center"/>
    </xf>
    <xf numFmtId="0" fontId="7" fillId="2" borderId="0" xfId="10" applyFont="1" applyFill="1" applyBorder="1" applyAlignment="1" applyProtection="1">
      <alignment vertical="center"/>
    </xf>
    <xf numFmtId="1" fontId="7" fillId="2" borderId="0" xfId="10" applyNumberFormat="1" applyFont="1" applyFill="1" applyBorder="1" applyAlignment="1" applyProtection="1">
      <alignment vertical="center"/>
    </xf>
    <xf numFmtId="2" fontId="7" fillId="2" borderId="0" xfId="9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1" fontId="7" fillId="2" borderId="0" xfId="0" applyNumberFormat="1" applyFont="1" applyFill="1" applyBorder="1" applyAlignment="1">
      <alignment vertical="center"/>
    </xf>
    <xf numFmtId="2" fontId="7" fillId="2" borderId="0" xfId="0" applyNumberFormat="1" applyFont="1" applyFill="1" applyBorder="1" applyAlignment="1">
      <alignment vertical="center"/>
    </xf>
    <xf numFmtId="0" fontId="7" fillId="2" borderId="0" xfId="10" applyNumberFormat="1" applyFont="1" applyFill="1" applyBorder="1" applyAlignment="1" applyProtection="1">
      <alignment horizontal="right" vertical="center"/>
    </xf>
    <xf numFmtId="2" fontId="7" fillId="2" borderId="0" xfId="10" applyNumberFormat="1" applyFont="1" applyFill="1" applyBorder="1" applyAlignment="1" applyProtection="1">
      <alignment horizontal="left" vertical="center"/>
    </xf>
    <xf numFmtId="0" fontId="7" fillId="2" borderId="0" xfId="9" applyFont="1" applyFill="1" applyBorder="1" applyAlignment="1">
      <alignment vertical="center"/>
    </xf>
    <xf numFmtId="0" fontId="7" fillId="2" borderId="0" xfId="10" applyFont="1" applyFill="1" applyBorder="1" applyAlignment="1">
      <alignment horizontal="right" vertical="center"/>
    </xf>
    <xf numFmtId="0" fontId="7" fillId="2" borderId="70" xfId="10" applyNumberFormat="1" applyFont="1" applyFill="1" applyBorder="1" applyAlignment="1">
      <alignment horizontal="right" vertical="center"/>
    </xf>
    <xf numFmtId="2" fontId="7" fillId="2" borderId="70" xfId="10" applyNumberFormat="1" applyFont="1" applyFill="1" applyBorder="1" applyAlignment="1">
      <alignment horizontal="center" vertical="center"/>
    </xf>
    <xf numFmtId="2" fontId="6" fillId="2" borderId="0" xfId="10" applyNumberFormat="1" applyFont="1" applyFill="1" applyBorder="1" applyAlignment="1" applyProtection="1">
      <alignment vertical="center"/>
    </xf>
    <xf numFmtId="1" fontId="7" fillId="2" borderId="0" xfId="10" applyNumberFormat="1" applyFont="1" applyFill="1" applyBorder="1" applyAlignment="1" applyProtection="1">
      <alignment horizontal="right" vertical="center"/>
    </xf>
    <xf numFmtId="0" fontId="7" fillId="2" borderId="0" xfId="66" applyFill="1" applyBorder="1" applyAlignment="1">
      <alignment horizontal="right"/>
    </xf>
    <xf numFmtId="0" fontId="7" fillId="2" borderId="0" xfId="66" quotePrefix="1" applyFill="1" applyBorder="1"/>
    <xf numFmtId="2" fontId="7" fillId="2" borderId="0" xfId="66" applyNumberFormat="1" applyFill="1" applyBorder="1"/>
    <xf numFmtId="0" fontId="7" fillId="2" borderId="0" xfId="66" applyFill="1" applyBorder="1"/>
    <xf numFmtId="0" fontId="28" fillId="2" borderId="0" xfId="66" applyFont="1" applyFill="1" applyBorder="1" applyAlignment="1">
      <alignment horizontal="right"/>
    </xf>
    <xf numFmtId="2" fontId="7" fillId="2" borderId="0" xfId="66" applyNumberFormat="1" applyFill="1" applyBorder="1" applyAlignment="1">
      <alignment horizontal="left"/>
    </xf>
    <xf numFmtId="4" fontId="7" fillId="2" borderId="0" xfId="66" applyNumberFormat="1" applyFill="1" applyBorder="1"/>
    <xf numFmtId="0" fontId="28" fillId="2" borderId="0" xfId="66" applyFont="1" applyFill="1" applyBorder="1"/>
    <xf numFmtId="0" fontId="7" fillId="2" borderId="0" xfId="66" applyFill="1" applyBorder="1" applyAlignment="1">
      <alignment horizontal="center"/>
    </xf>
    <xf numFmtId="164" fontId="46" fillId="0" borderId="0" xfId="10" applyNumberFormat="1" applyFont="1" applyFill="1" applyBorder="1" applyProtection="1"/>
    <xf numFmtId="0" fontId="7" fillId="2" borderId="23" xfId="9" applyFont="1" applyFill="1" applyBorder="1"/>
    <xf numFmtId="0" fontId="7" fillId="2" borderId="24" xfId="9" applyFont="1" applyFill="1" applyBorder="1"/>
    <xf numFmtId="0" fontId="7" fillId="2" borderId="47" xfId="9" applyFont="1" applyFill="1" applyBorder="1"/>
    <xf numFmtId="0" fontId="7" fillId="2" borderId="48" xfId="9" applyFont="1" applyFill="1" applyBorder="1"/>
    <xf numFmtId="0" fontId="7" fillId="2" borderId="49" xfId="9" applyFont="1" applyFill="1" applyBorder="1" applyAlignment="1">
      <alignment horizontal="center"/>
    </xf>
    <xf numFmtId="0" fontId="7" fillId="2" borderId="26" xfId="9" applyFont="1" applyFill="1" applyBorder="1" applyAlignment="1">
      <alignment horizontal="center"/>
    </xf>
    <xf numFmtId="0" fontId="46" fillId="2" borderId="20" xfId="7" applyFont="1" applyFill="1" applyBorder="1" applyAlignment="1" applyProtection="1">
      <alignment horizontal="center"/>
    </xf>
    <xf numFmtId="0" fontId="41" fillId="2" borderId="20" xfId="7" applyFont="1" applyFill="1" applyBorder="1" applyAlignment="1" applyProtection="1">
      <alignment horizontal="center"/>
    </xf>
    <xf numFmtId="187" fontId="7" fillId="2" borderId="0" xfId="7" applyNumberFormat="1" applyFont="1" applyFill="1" applyBorder="1" applyProtection="1"/>
    <xf numFmtId="187" fontId="3" fillId="0" borderId="0" xfId="9" applyNumberFormat="1" applyFill="1"/>
    <xf numFmtId="0" fontId="20" fillId="0" borderId="0" xfId="9" applyFont="1" applyFill="1"/>
    <xf numFmtId="0" fontId="7" fillId="0" borderId="0" xfId="7" applyFont="1" applyFill="1" applyBorder="1" applyProtection="1"/>
    <xf numFmtId="0" fontId="7" fillId="0" borderId="0" xfId="7" applyFont="1" applyFill="1" applyBorder="1" applyAlignment="1" applyProtection="1">
      <alignment horizontal="right"/>
    </xf>
    <xf numFmtId="187" fontId="7" fillId="0" borderId="0" xfId="7" applyNumberFormat="1" applyFont="1" applyFill="1" applyBorder="1" applyProtection="1"/>
    <xf numFmtId="0" fontId="7" fillId="0" borderId="0" xfId="7" applyFont="1" applyFill="1" applyBorder="1" applyAlignment="1" applyProtection="1"/>
    <xf numFmtId="172" fontId="7" fillId="0" borderId="0" xfId="7" applyNumberFormat="1" applyFont="1" applyFill="1" applyBorder="1" applyProtection="1"/>
    <xf numFmtId="0" fontId="46" fillId="0" borderId="20" xfId="7" applyFont="1" applyFill="1" applyBorder="1" applyAlignment="1" applyProtection="1">
      <alignment horizontal="center"/>
    </xf>
    <xf numFmtId="0" fontId="3" fillId="0" borderId="106" xfId="9" applyFont="1" applyBorder="1" applyAlignment="1">
      <alignment horizontal="center" wrapText="1"/>
    </xf>
    <xf numFmtId="0" fontId="46" fillId="0" borderId="0" xfId="10" applyFont="1" applyBorder="1" applyAlignment="1">
      <alignment horizontal="right"/>
    </xf>
    <xf numFmtId="0" fontId="46" fillId="2" borderId="51" xfId="6" applyFont="1" applyFill="1" applyBorder="1"/>
    <xf numFmtId="4" fontId="46" fillId="2" borderId="70" xfId="10" applyNumberFormat="1" applyFont="1" applyFill="1" applyBorder="1" applyAlignment="1" applyProtection="1">
      <alignment horizontal="center"/>
    </xf>
    <xf numFmtId="4" fontId="46" fillId="2" borderId="127" xfId="10" applyNumberFormat="1" applyFont="1" applyFill="1" applyBorder="1" applyAlignment="1" applyProtection="1">
      <alignment horizontal="left"/>
    </xf>
    <xf numFmtId="0" fontId="46" fillId="0" borderId="20" xfId="10" applyFont="1" applyBorder="1" applyAlignment="1">
      <alignment horizontal="left"/>
    </xf>
    <xf numFmtId="4" fontId="0" fillId="0" borderId="101" xfId="9" applyNumberFormat="1" applyFont="1" applyBorder="1" applyAlignment="1">
      <alignment horizontal="center"/>
    </xf>
    <xf numFmtId="4" fontId="0" fillId="0" borderId="100" xfId="9" applyNumberFormat="1" applyFont="1" applyBorder="1" applyAlignment="1">
      <alignment horizontal="center"/>
    </xf>
    <xf numFmtId="3" fontId="0" fillId="0" borderId="0" xfId="9" applyNumberFormat="1" applyFont="1"/>
    <xf numFmtId="4" fontId="3" fillId="0" borderId="0" xfId="2" applyNumberFormat="1" applyFill="1" applyAlignment="1">
      <alignment horizontal="center"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vertical="center" wrapText="1"/>
    </xf>
    <xf numFmtId="0" fontId="7" fillId="2" borderId="135" xfId="6" applyFont="1" applyFill="1" applyBorder="1" applyAlignment="1" applyProtection="1"/>
    <xf numFmtId="0" fontId="7" fillId="2" borderId="136" xfId="6" applyFont="1" applyFill="1" applyBorder="1"/>
    <xf numFmtId="4" fontId="7" fillId="2" borderId="137" xfId="6" applyNumberFormat="1" applyFont="1" applyFill="1" applyBorder="1" applyAlignment="1">
      <alignment horizontal="center"/>
    </xf>
    <xf numFmtId="170" fontId="7" fillId="2" borderId="138" xfId="6" applyNumberFormat="1" applyFont="1" applyFill="1" applyBorder="1" applyAlignment="1">
      <alignment horizontal="center"/>
    </xf>
    <xf numFmtId="1" fontId="23" fillId="0" borderId="60" xfId="0" applyNumberFormat="1" applyFont="1" applyFill="1" applyBorder="1" applyAlignment="1">
      <alignment horizontal="center" vertical="center"/>
    </xf>
    <xf numFmtId="4" fontId="23" fillId="0" borderId="12" xfId="0" applyNumberFormat="1" applyFont="1" applyFill="1" applyBorder="1" applyAlignment="1">
      <alignment horizontal="center"/>
    </xf>
    <xf numFmtId="4" fontId="10" fillId="0" borderId="12" xfId="0" applyNumberFormat="1" applyFont="1" applyFill="1" applyBorder="1" applyAlignment="1"/>
    <xf numFmtId="4" fontId="10" fillId="0" borderId="131" xfId="5" applyNumberFormat="1" applyFont="1" applyFill="1" applyBorder="1" applyAlignment="1" applyProtection="1">
      <alignment horizontal="right"/>
    </xf>
    <xf numFmtId="4" fontId="8" fillId="0" borderId="132" xfId="0" applyNumberFormat="1" applyFont="1" applyFill="1" applyBorder="1" applyAlignment="1">
      <alignment horizontal="center"/>
    </xf>
    <xf numFmtId="1" fontId="23" fillId="0" borderId="71" xfId="0" applyNumberFormat="1" applyFont="1" applyFill="1" applyBorder="1" applyAlignment="1">
      <alignment horizontal="center" vertical="center"/>
    </xf>
    <xf numFmtId="4" fontId="23" fillId="0" borderId="62" xfId="0" applyNumberFormat="1" applyFont="1" applyFill="1" applyBorder="1" applyAlignment="1">
      <alignment horizontal="center"/>
    </xf>
    <xf numFmtId="4" fontId="10" fillId="0" borderId="62" xfId="0" applyNumberFormat="1" applyFont="1" applyFill="1" applyBorder="1" applyAlignment="1"/>
    <xf numFmtId="4" fontId="10" fillId="0" borderId="6" xfId="5" applyNumberFormat="1" applyFont="1" applyFill="1" applyBorder="1" applyAlignment="1" applyProtection="1">
      <alignment horizontal="right"/>
    </xf>
    <xf numFmtId="4" fontId="8" fillId="0" borderId="64" xfId="0" applyNumberFormat="1" applyFont="1" applyFill="1" applyBorder="1" applyAlignment="1">
      <alignment horizontal="center"/>
    </xf>
    <xf numFmtId="1" fontId="23" fillId="0" borderId="62" xfId="0" applyNumberFormat="1" applyFont="1" applyFill="1" applyBorder="1" applyAlignment="1">
      <alignment horizontal="center" vertical="center"/>
    </xf>
    <xf numFmtId="4" fontId="23" fillId="0" borderId="62" xfId="0" applyNumberFormat="1" applyFont="1" applyBorder="1" applyAlignment="1">
      <alignment horizontal="center"/>
    </xf>
    <xf numFmtId="0" fontId="10" fillId="0" borderId="62" xfId="0" applyFont="1" applyFill="1" applyBorder="1" applyAlignment="1">
      <alignment horizontal="center" vertical="center"/>
    </xf>
    <xf numFmtId="4" fontId="10" fillId="2" borderId="62" xfId="0" applyNumberFormat="1" applyFont="1" applyFill="1" applyBorder="1" applyAlignment="1">
      <alignment horizontal="center"/>
    </xf>
    <xf numFmtId="4" fontId="23" fillId="2" borderId="62" xfId="0" applyNumberFormat="1" applyFont="1" applyFill="1" applyBorder="1" applyAlignment="1">
      <alignment horizontal="center"/>
    </xf>
    <xf numFmtId="0" fontId="10" fillId="0" borderId="71" xfId="0" applyFont="1" applyFill="1" applyBorder="1" applyAlignment="1">
      <alignment horizontal="center" vertical="center"/>
    </xf>
    <xf numFmtId="4" fontId="10" fillId="2" borderId="71" xfId="0" applyNumberFormat="1" applyFont="1" applyFill="1" applyBorder="1" applyAlignment="1">
      <alignment horizontal="center"/>
    </xf>
    <xf numFmtId="0" fontId="10" fillId="0" borderId="68" xfId="0" applyFont="1" applyFill="1" applyBorder="1" applyAlignment="1">
      <alignment horizontal="center" vertical="center"/>
    </xf>
    <xf numFmtId="4" fontId="23" fillId="0" borderId="66" xfId="0" applyNumberFormat="1" applyFont="1" applyBorder="1" applyAlignment="1">
      <alignment horizontal="center"/>
    </xf>
    <xf numFmtId="4" fontId="10" fillId="0" borderId="66" xfId="0" applyNumberFormat="1" applyFont="1" applyFill="1" applyBorder="1" applyAlignment="1"/>
    <xf numFmtId="4" fontId="10" fillId="0" borderId="8" xfId="5" applyNumberFormat="1" applyFont="1" applyFill="1" applyBorder="1" applyAlignment="1" applyProtection="1">
      <alignment horizontal="right"/>
    </xf>
    <xf numFmtId="4" fontId="8" fillId="0" borderId="69" xfId="0" applyNumberFormat="1" applyFont="1" applyFill="1" applyBorder="1" applyAlignment="1">
      <alignment horizontal="center"/>
    </xf>
    <xf numFmtId="0" fontId="23" fillId="0" borderId="139" xfId="0" applyFont="1" applyFill="1" applyBorder="1" applyAlignment="1"/>
    <xf numFmtId="0" fontId="23" fillId="0" borderId="140" xfId="0" applyFont="1" applyFill="1" applyBorder="1" applyAlignment="1"/>
    <xf numFmtId="0" fontId="23" fillId="0" borderId="54" xfId="0" applyFont="1" applyFill="1" applyBorder="1" applyAlignment="1"/>
    <xf numFmtId="0" fontId="23" fillId="0" borderId="63" xfId="0" applyFont="1" applyFill="1" applyBorder="1" applyAlignment="1"/>
    <xf numFmtId="0" fontId="24" fillId="0" borderId="142" xfId="0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0" fontId="2" fillId="0" borderId="10" xfId="2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24" xfId="2" applyFont="1" applyFill="1" applyBorder="1" applyAlignment="1">
      <alignment horizontal="left" vertical="center" wrapText="1"/>
    </xf>
    <xf numFmtId="0" fontId="3" fillId="0" borderId="0" xfId="2" applyFill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/>
    <xf numFmtId="178" fontId="7" fillId="2" borderId="0" xfId="7" applyNumberFormat="1" applyFont="1" applyFill="1" applyBorder="1" applyProtection="1"/>
    <xf numFmtId="4" fontId="46" fillId="0" borderId="0" xfId="9" applyNumberFormat="1" applyFont="1" applyBorder="1" applyAlignment="1">
      <alignment horizontal="right"/>
    </xf>
    <xf numFmtId="0" fontId="28" fillId="2" borderId="143" xfId="7" applyFont="1" applyFill="1" applyBorder="1" applyAlignment="1" applyProtection="1"/>
    <xf numFmtId="0" fontId="7" fillId="2" borderId="144" xfId="7" applyFont="1" applyFill="1" applyBorder="1"/>
    <xf numFmtId="0" fontId="7" fillId="2" borderId="145" xfId="7" applyFont="1" applyFill="1" applyBorder="1" applyAlignment="1">
      <alignment horizontal="center"/>
    </xf>
    <xf numFmtId="172" fontId="7" fillId="2" borderId="70" xfId="7" applyNumberFormat="1" applyFont="1" applyFill="1" applyBorder="1" applyProtection="1"/>
    <xf numFmtId="0" fontId="7" fillId="2" borderId="73" xfId="10" applyFont="1" applyFill="1" applyBorder="1" applyAlignment="1" applyProtection="1">
      <alignment vertical="center"/>
    </xf>
    <xf numFmtId="2" fontId="7" fillId="2" borderId="74" xfId="9" applyNumberFormat="1" applyFont="1" applyFill="1" applyBorder="1" applyAlignment="1">
      <alignment vertical="center"/>
    </xf>
    <xf numFmtId="0" fontId="7" fillId="2" borderId="73" xfId="0" applyFont="1" applyFill="1" applyBorder="1" applyAlignment="1">
      <alignment vertical="center"/>
    </xf>
    <xf numFmtId="2" fontId="7" fillId="2" borderId="0" xfId="9" applyNumberFormat="1" applyFont="1" applyFill="1" applyBorder="1" applyAlignment="1">
      <alignment horizontal="right" vertical="center"/>
    </xf>
    <xf numFmtId="0" fontId="6" fillId="2" borderId="73" xfId="10" applyFont="1" applyFill="1" applyBorder="1" applyAlignment="1" applyProtection="1">
      <alignment vertical="center"/>
    </xf>
    <xf numFmtId="0" fontId="7" fillId="2" borderId="73" xfId="10" applyFont="1" applyFill="1" applyBorder="1" applyAlignment="1">
      <alignment vertical="center"/>
    </xf>
    <xf numFmtId="0" fontId="6" fillId="2" borderId="73" xfId="10" applyFont="1" applyFill="1" applyBorder="1" applyAlignment="1" applyProtection="1">
      <alignment horizontal="left" vertical="center"/>
    </xf>
    <xf numFmtId="0" fontId="7" fillId="2" borderId="0" xfId="9" applyFont="1" applyFill="1" applyBorder="1" applyAlignment="1">
      <alignment horizontal="right" vertical="center"/>
    </xf>
    <xf numFmtId="0" fontId="6" fillId="2" borderId="58" xfId="10" applyFont="1" applyFill="1" applyBorder="1" applyAlignment="1" applyProtection="1">
      <alignment vertical="center"/>
    </xf>
    <xf numFmtId="0" fontId="46" fillId="0" borderId="47" xfId="10" applyFont="1" applyFill="1" applyBorder="1" applyAlignment="1" applyProtection="1"/>
    <xf numFmtId="2" fontId="46" fillId="0" borderId="49" xfId="10" applyNumberFormat="1" applyFont="1" applyFill="1" applyBorder="1" applyAlignment="1" applyProtection="1">
      <alignment horizontal="left"/>
    </xf>
    <xf numFmtId="0" fontId="0" fillId="0" borderId="48" xfId="9" applyFont="1" applyBorder="1"/>
    <xf numFmtId="0" fontId="46" fillId="0" borderId="49" xfId="10" applyFont="1" applyBorder="1" applyAlignment="1">
      <alignment horizontal="center"/>
    </xf>
    <xf numFmtId="3" fontId="46" fillId="0" borderId="109" xfId="10" applyNumberFormat="1" applyFont="1" applyFill="1" applyBorder="1" applyAlignment="1" applyProtection="1">
      <alignment horizontal="center"/>
    </xf>
    <xf numFmtId="4" fontId="46" fillId="0" borderId="109" xfId="10" applyNumberFormat="1" applyFont="1" applyFill="1" applyBorder="1" applyAlignment="1" applyProtection="1">
      <alignment horizontal="center"/>
    </xf>
    <xf numFmtId="4" fontId="46" fillId="0" borderId="109" xfId="10" applyNumberFormat="1" applyFont="1" applyFill="1" applyBorder="1"/>
    <xf numFmtId="4" fontId="46" fillId="0" borderId="146" xfId="10" applyNumberFormat="1" applyFont="1" applyFill="1" applyBorder="1" applyAlignment="1">
      <alignment horizontal="center"/>
    </xf>
    <xf numFmtId="4" fontId="46" fillId="0" borderId="20" xfId="10" applyNumberFormat="1" applyFont="1" applyFill="1" applyBorder="1" applyAlignment="1" applyProtection="1">
      <alignment horizontal="center"/>
    </xf>
    <xf numFmtId="4" fontId="46" fillId="0" borderId="20" xfId="10" applyNumberFormat="1" applyFont="1" applyFill="1" applyBorder="1" applyAlignment="1">
      <alignment horizontal="center"/>
    </xf>
    <xf numFmtId="4" fontId="46" fillId="0" borderId="21" xfId="10" applyNumberFormat="1" applyFont="1" applyBorder="1" applyAlignment="1" applyProtection="1">
      <alignment horizontal="left"/>
    </xf>
    <xf numFmtId="4" fontId="46" fillId="0" borderId="107" xfId="10" applyNumberFormat="1" applyFont="1" applyFill="1" applyBorder="1" applyProtection="1"/>
    <xf numFmtId="4" fontId="46" fillId="0" borderId="104" xfId="10" applyNumberFormat="1" applyFont="1" applyFill="1" applyBorder="1" applyAlignment="1" applyProtection="1">
      <alignment horizontal="center"/>
    </xf>
    <xf numFmtId="4" fontId="46" fillId="0" borderId="24" xfId="9" applyNumberFormat="1" applyFont="1" applyBorder="1"/>
    <xf numFmtId="0" fontId="2" fillId="0" borderId="0" xfId="2" applyFont="1" applyFill="1" applyBorder="1" applyAlignment="1">
      <alignment horizontal="left" vertical="center" wrapText="1"/>
    </xf>
    <xf numFmtId="0" fontId="7" fillId="2" borderId="0" xfId="66" applyFill="1" applyBorder="1" applyAlignment="1">
      <alignment horizontal="left"/>
    </xf>
    <xf numFmtId="0" fontId="7" fillId="2" borderId="70" xfId="66" applyFill="1" applyBorder="1"/>
    <xf numFmtId="10" fontId="7" fillId="2" borderId="0" xfId="66" applyNumberFormat="1" applyFill="1" applyBorder="1" applyAlignment="1">
      <alignment horizontal="right"/>
    </xf>
    <xf numFmtId="178" fontId="7" fillId="2" borderId="0" xfId="66" applyNumberFormat="1" applyFill="1" applyBorder="1"/>
    <xf numFmtId="2" fontId="6" fillId="2" borderId="0" xfId="66" applyNumberFormat="1" applyFont="1" applyFill="1" applyBorder="1"/>
    <xf numFmtId="2" fontId="6" fillId="2" borderId="0" xfId="10" applyNumberFormat="1" applyFont="1" applyFill="1" applyBorder="1" applyAlignment="1">
      <alignment vertical="center"/>
    </xf>
    <xf numFmtId="0" fontId="6" fillId="2" borderId="0" xfId="10" applyFont="1" applyFill="1" applyBorder="1" applyAlignment="1">
      <alignment vertical="center"/>
    </xf>
    <xf numFmtId="0" fontId="3" fillId="0" borderId="0" xfId="9" applyBorder="1" applyAlignment="1">
      <alignment horizontal="right"/>
    </xf>
    <xf numFmtId="0" fontId="26" fillId="0" borderId="0" xfId="0" applyFont="1" applyBorder="1" applyAlignment="1">
      <alignment vertical="center"/>
    </xf>
    <xf numFmtId="0" fontId="6" fillId="2" borderId="150" xfId="10" applyFont="1" applyFill="1" applyBorder="1" applyAlignment="1" applyProtection="1">
      <alignment vertical="center"/>
    </xf>
    <xf numFmtId="0" fontId="7" fillId="2" borderId="151" xfId="10" applyFont="1" applyFill="1" applyBorder="1" applyAlignment="1">
      <alignment vertical="center"/>
    </xf>
    <xf numFmtId="0" fontId="7" fillId="2" borderId="151" xfId="10" applyNumberFormat="1" applyFont="1" applyFill="1" applyBorder="1" applyAlignment="1">
      <alignment horizontal="right" vertical="center"/>
    </xf>
    <xf numFmtId="2" fontId="7" fillId="2" borderId="151" xfId="10" applyNumberFormat="1" applyFont="1" applyFill="1" applyBorder="1" applyAlignment="1">
      <alignment horizontal="center" vertical="center"/>
    </xf>
    <xf numFmtId="2" fontId="7" fillId="2" borderId="151" xfId="10" applyNumberFormat="1" applyFont="1" applyFill="1" applyBorder="1" applyAlignment="1">
      <alignment vertical="center"/>
    </xf>
    <xf numFmtId="2" fontId="7" fillId="2" borderId="151" xfId="10" applyNumberFormat="1" applyFont="1" applyFill="1" applyBorder="1" applyAlignment="1" applyProtection="1">
      <alignment vertical="center"/>
    </xf>
    <xf numFmtId="2" fontId="7" fillId="2" borderId="152" xfId="10" applyNumberFormat="1" applyFont="1" applyFill="1" applyBorder="1" applyAlignment="1">
      <alignment horizontal="center" vertical="center"/>
    </xf>
    <xf numFmtId="2" fontId="7" fillId="2" borderId="74" xfId="0" applyNumberFormat="1" applyFont="1" applyFill="1" applyBorder="1" applyAlignment="1">
      <alignment horizontal="center" vertical="center"/>
    </xf>
    <xf numFmtId="2" fontId="7" fillId="2" borderId="74" xfId="10" applyNumberFormat="1" applyFont="1" applyFill="1" applyBorder="1" applyAlignment="1">
      <alignment horizontal="center" vertical="center"/>
    </xf>
    <xf numFmtId="0" fontId="7" fillId="2" borderId="74" xfId="9" applyFont="1" applyFill="1" applyBorder="1" applyAlignment="1">
      <alignment vertical="center"/>
    </xf>
    <xf numFmtId="2" fontId="7" fillId="2" borderId="74" xfId="10" applyNumberFormat="1" applyFont="1" applyFill="1" applyBorder="1" applyAlignment="1">
      <alignment vertical="center"/>
    </xf>
    <xf numFmtId="0" fontId="7" fillId="2" borderId="74" xfId="66" applyFill="1" applyBorder="1"/>
    <xf numFmtId="0" fontId="7" fillId="2" borderId="153" xfId="66" applyFill="1" applyBorder="1"/>
    <xf numFmtId="0" fontId="3" fillId="0" borderId="74" xfId="9" applyBorder="1"/>
    <xf numFmtId="0" fontId="6" fillId="2" borderId="74" xfId="66" applyFont="1" applyFill="1" applyBorder="1"/>
    <xf numFmtId="0" fontId="7" fillId="0" borderId="0" xfId="9" applyFont="1" applyBorder="1" applyAlignment="1">
      <alignment horizontal="left"/>
    </xf>
    <xf numFmtId="0" fontId="7" fillId="2" borderId="134" xfId="10" applyFont="1" applyFill="1" applyBorder="1" applyAlignment="1">
      <alignment vertical="center"/>
    </xf>
    <xf numFmtId="0" fontId="7" fillId="2" borderId="134" xfId="9" applyFont="1" applyFill="1" applyBorder="1" applyAlignment="1">
      <alignment vertical="center"/>
    </xf>
    <xf numFmtId="174" fontId="7" fillId="2" borderId="134" xfId="10" applyNumberFormat="1" applyFont="1" applyFill="1" applyBorder="1" applyAlignment="1" applyProtection="1">
      <alignment horizontal="center" vertical="center"/>
    </xf>
    <xf numFmtId="2" fontId="7" fillId="2" borderId="134" xfId="10" applyNumberFormat="1" applyFont="1" applyFill="1" applyBorder="1" applyAlignment="1" applyProtection="1">
      <alignment horizontal="center" vertical="center"/>
    </xf>
    <xf numFmtId="2" fontId="7" fillId="2" borderId="130" xfId="9" applyNumberFormat="1" applyFont="1" applyFill="1" applyBorder="1" applyAlignment="1">
      <alignment vertical="center"/>
    </xf>
    <xf numFmtId="0" fontId="7" fillId="2" borderId="147" xfId="9" applyFont="1" applyFill="1" applyBorder="1" applyAlignment="1">
      <alignment vertical="center"/>
    </xf>
    <xf numFmtId="170" fontId="7" fillId="2" borderId="0" xfId="66" applyNumberFormat="1" applyFill="1" applyBorder="1" applyAlignment="1">
      <alignment horizont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center"/>
    </xf>
    <xf numFmtId="0" fontId="2" fillId="0" borderId="0" xfId="2" applyFont="1" applyFill="1" applyAlignment="1">
      <alignment horizontal="left" vertical="center" wrapText="1"/>
    </xf>
    <xf numFmtId="166" fontId="13" fillId="0" borderId="104" xfId="2" applyNumberFormat="1" applyFont="1" applyFill="1" applyBorder="1" applyProtection="1"/>
    <xf numFmtId="170" fontId="46" fillId="0" borderId="24" xfId="10" applyNumberFormat="1" applyFont="1" applyFill="1" applyBorder="1" applyAlignment="1" applyProtection="1">
      <alignment horizontal="center"/>
    </xf>
    <xf numFmtId="0" fontId="7" fillId="2" borderId="154" xfId="6" applyFont="1" applyFill="1" applyBorder="1"/>
    <xf numFmtId="0" fontId="7" fillId="2" borderId="155" xfId="6" applyFont="1" applyFill="1" applyBorder="1"/>
    <xf numFmtId="4" fontId="7" fillId="2" borderId="3" xfId="66" applyNumberFormat="1" applyFont="1" applyFill="1" applyBorder="1" applyAlignment="1">
      <alignment horizontal="center"/>
    </xf>
    <xf numFmtId="170" fontId="46" fillId="2" borderId="156" xfId="6" applyNumberFormat="1" applyFont="1" applyFill="1" applyBorder="1" applyAlignment="1">
      <alignment horizontal="center"/>
    </xf>
    <xf numFmtId="172" fontId="7" fillId="2" borderId="107" xfId="7" applyNumberFormat="1" applyFont="1" applyFill="1" applyBorder="1" applyProtection="1"/>
    <xf numFmtId="172" fontId="7" fillId="2" borderId="37" xfId="7" applyNumberFormat="1" applyFont="1" applyFill="1" applyBorder="1" applyProtection="1"/>
    <xf numFmtId="0" fontId="7" fillId="2" borderId="143" xfId="9" applyFont="1" applyFill="1" applyBorder="1"/>
    <xf numFmtId="0" fontId="7" fillId="2" borderId="144" xfId="9" applyFont="1" applyFill="1" applyBorder="1"/>
    <xf numFmtId="0" fontId="7" fillId="2" borderId="145" xfId="9" applyFont="1" applyFill="1" applyBorder="1" applyAlignment="1">
      <alignment horizontal="center"/>
    </xf>
    <xf numFmtId="0" fontId="7" fillId="2" borderId="23" xfId="7" applyFont="1" applyFill="1" applyBorder="1" applyAlignment="1" applyProtection="1"/>
    <xf numFmtId="0" fontId="7" fillId="2" borderId="24" xfId="7" applyFont="1" applyFill="1" applyBorder="1"/>
    <xf numFmtId="0" fontId="7" fillId="2" borderId="24" xfId="7" applyFont="1" applyFill="1" applyBorder="1" applyAlignment="1">
      <alignment horizontal="center"/>
    </xf>
    <xf numFmtId="172" fontId="6" fillId="2" borderId="24" xfId="7" applyNumberFormat="1" applyFont="1" applyFill="1" applyBorder="1" applyProtection="1"/>
    <xf numFmtId="0" fontId="6" fillId="2" borderId="26" xfId="7" applyFont="1" applyFill="1" applyBorder="1" applyAlignment="1" applyProtection="1">
      <alignment horizontal="center"/>
    </xf>
    <xf numFmtId="170" fontId="46" fillId="2" borderId="0" xfId="9" applyNumberFormat="1" applyFont="1" applyFill="1" applyBorder="1" applyAlignment="1">
      <alignment horizontal="center"/>
    </xf>
    <xf numFmtId="188" fontId="46" fillId="2" borderId="0" xfId="9" applyNumberFormat="1" applyFont="1" applyFill="1" applyBorder="1" applyAlignment="1">
      <alignment horizontal="center"/>
    </xf>
    <xf numFmtId="2" fontId="7" fillId="2" borderId="20" xfId="10" applyNumberFormat="1" applyFont="1" applyFill="1" applyBorder="1" applyAlignment="1" applyProtection="1">
      <alignment horizontal="left" vertical="center"/>
    </xf>
    <xf numFmtId="4" fontId="46" fillId="2" borderId="157" xfId="10" applyNumberFormat="1" applyFont="1" applyFill="1" applyBorder="1" applyAlignment="1" applyProtection="1">
      <alignment horizontal="left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6" fillId="0" borderId="73" xfId="2" applyNumberFormat="1" applyFont="1" applyFill="1" applyBorder="1" applyAlignment="1" applyProtection="1">
      <alignment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2" borderId="0" xfId="2" applyNumberFormat="1" applyFont="1" applyFill="1" applyBorder="1" applyAlignment="1" applyProtection="1">
      <alignment vertical="center"/>
    </xf>
    <xf numFmtId="0" fontId="3" fillId="0" borderId="0" xfId="2" applyFont="1" applyFill="1" applyAlignment="1">
      <alignment vertical="center"/>
    </xf>
    <xf numFmtId="4" fontId="3" fillId="0" borderId="0" xfId="2" applyNumberFormat="1" applyFill="1" applyAlignment="1">
      <alignment vertical="center"/>
    </xf>
    <xf numFmtId="0" fontId="8" fillId="2" borderId="163" xfId="2" applyNumberFormat="1" applyFont="1" applyFill="1" applyBorder="1" applyAlignment="1" applyProtection="1">
      <alignment horizontal="center" vertical="center"/>
    </xf>
    <xf numFmtId="0" fontId="7" fillId="2" borderId="164" xfId="2" applyNumberFormat="1" applyFont="1" applyFill="1" applyBorder="1" applyAlignment="1" applyProtection="1">
      <alignment horizontal="center" vertical="center"/>
    </xf>
    <xf numFmtId="0" fontId="7" fillId="0" borderId="0" xfId="2" applyFont="1" applyFill="1" applyAlignment="1">
      <alignment vertical="center"/>
    </xf>
    <xf numFmtId="0" fontId="9" fillId="0" borderId="0" xfId="3" applyFill="1" applyAlignment="1" applyProtection="1">
      <alignment horizontal="center" vertical="center"/>
    </xf>
    <xf numFmtId="0" fontId="8" fillId="2" borderId="166" xfId="2" applyNumberFormat="1" applyFont="1" applyFill="1" applyBorder="1" applyAlignment="1" applyProtection="1">
      <alignment horizontal="center" vertical="center"/>
    </xf>
    <xf numFmtId="0" fontId="6" fillId="2" borderId="6" xfId="2" applyNumberFormat="1" applyFont="1" applyFill="1" applyBorder="1" applyAlignment="1" applyProtection="1">
      <alignment horizontal="center" vertical="center"/>
    </xf>
    <xf numFmtId="0" fontId="7" fillId="2" borderId="6" xfId="154" applyFont="1" applyFill="1" applyBorder="1" applyAlignment="1">
      <alignment horizontal="left" vertical="center"/>
    </xf>
    <xf numFmtId="0" fontId="7" fillId="2" borderId="6" xfId="154" applyFont="1" applyFill="1" applyBorder="1" applyAlignment="1">
      <alignment horizontal="center" vertical="center"/>
    </xf>
    <xf numFmtId="4" fontId="7" fillId="0" borderId="0" xfId="2" applyNumberFormat="1" applyFont="1" applyFill="1" applyAlignment="1">
      <alignment vertical="center"/>
    </xf>
    <xf numFmtId="2" fontId="7" fillId="0" borderId="0" xfId="2" applyNumberFormat="1" applyFont="1" applyFill="1" applyAlignment="1">
      <alignment vertical="center"/>
    </xf>
    <xf numFmtId="2" fontId="3" fillId="0" borderId="0" xfId="2" applyNumberFormat="1" applyFill="1" applyAlignment="1">
      <alignment vertical="center"/>
    </xf>
    <xf numFmtId="0" fontId="8" fillId="2" borderId="167" xfId="2" applyNumberFormat="1" applyFont="1" applyFill="1" applyBorder="1" applyAlignment="1" applyProtection="1">
      <alignment horizontal="center" vertical="center"/>
    </xf>
    <xf numFmtId="0" fontId="7" fillId="2" borderId="6" xfId="154" applyFont="1" applyFill="1" applyBorder="1" applyAlignment="1">
      <alignment horizontal="left" vertical="center" wrapText="1"/>
    </xf>
    <xf numFmtId="0" fontId="7" fillId="2" borderId="3" xfId="154" applyFont="1" applyFill="1" applyBorder="1" applyAlignment="1">
      <alignment horizontal="center" vertical="center"/>
    </xf>
    <xf numFmtId="0" fontId="8" fillId="2" borderId="55" xfId="2" applyNumberFormat="1" applyFont="1" applyFill="1" applyBorder="1" applyAlignment="1" applyProtection="1">
      <alignment vertical="center"/>
    </xf>
    <xf numFmtId="0" fontId="6" fillId="2" borderId="148" xfId="2" applyNumberFormat="1" applyFont="1" applyFill="1" applyBorder="1" applyAlignment="1" applyProtection="1">
      <alignment vertical="center"/>
    </xf>
    <xf numFmtId="0" fontId="11" fillId="2" borderId="168" xfId="2" applyNumberFormat="1" applyFont="1" applyFill="1" applyBorder="1" applyAlignment="1" applyProtection="1">
      <alignment horizontal="center" vertical="center"/>
    </xf>
    <xf numFmtId="0" fontId="11" fillId="2" borderId="165" xfId="2" applyFont="1" applyFill="1" applyBorder="1" applyAlignment="1" applyProtection="1"/>
    <xf numFmtId="0" fontId="6" fillId="2" borderId="169" xfId="2" applyNumberFormat="1" applyFont="1" applyFill="1" applyBorder="1" applyAlignment="1" applyProtection="1">
      <alignment horizontal="center" vertical="center"/>
    </xf>
    <xf numFmtId="0" fontId="8" fillId="2" borderId="170" xfId="2" applyNumberFormat="1" applyFont="1" applyFill="1" applyBorder="1" applyAlignment="1" applyProtection="1">
      <alignment horizontal="center" vertical="center"/>
    </xf>
    <xf numFmtId="0" fontId="6" fillId="2" borderId="8" xfId="2" applyNumberFormat="1" applyFont="1" applyFill="1" applyBorder="1" applyAlignment="1" applyProtection="1">
      <alignment horizontal="center" vertical="center"/>
    </xf>
    <xf numFmtId="0" fontId="7" fillId="2" borderId="8" xfId="154" applyFont="1" applyFill="1" applyBorder="1" applyAlignment="1">
      <alignment horizontal="left" vertical="center" wrapText="1"/>
    </xf>
    <xf numFmtId="0" fontId="7" fillId="2" borderId="8" xfId="154" applyFont="1" applyFill="1" applyBorder="1" applyAlignment="1">
      <alignment horizontal="center" vertical="center"/>
    </xf>
    <xf numFmtId="0" fontId="8" fillId="2" borderId="58" xfId="2" applyNumberFormat="1" applyFont="1" applyFill="1" applyBorder="1" applyAlignment="1" applyProtection="1">
      <alignment horizontal="center" vertical="center"/>
    </xf>
    <xf numFmtId="0" fontId="6" fillId="2" borderId="10" xfId="2" applyNumberFormat="1" applyFont="1" applyFill="1" applyBorder="1" applyAlignment="1" applyProtection="1">
      <alignment horizontal="center" vertical="center"/>
    </xf>
    <xf numFmtId="0" fontId="7" fillId="2" borderId="10" xfId="154" applyFont="1" applyFill="1" applyBorder="1" applyAlignment="1">
      <alignment horizontal="left" vertical="center"/>
    </xf>
    <xf numFmtId="0" fontId="7" fillId="2" borderId="10" xfId="154" applyFont="1" applyFill="1" applyBorder="1" applyAlignment="1">
      <alignment horizontal="center" vertical="center"/>
    </xf>
    <xf numFmtId="0" fontId="8" fillId="2" borderId="171" xfId="2" applyNumberFormat="1" applyFont="1" applyFill="1" applyBorder="1" applyAlignment="1" applyProtection="1">
      <alignment horizontal="center" vertical="center"/>
    </xf>
    <xf numFmtId="0" fontId="7" fillId="2" borderId="169" xfId="154" applyFont="1" applyFill="1" applyBorder="1" applyAlignment="1">
      <alignment horizontal="left" vertical="center"/>
    </xf>
    <xf numFmtId="0" fontId="7" fillId="2" borderId="169" xfId="154" applyFont="1" applyFill="1" applyBorder="1" applyAlignment="1">
      <alignment horizontal="center" vertical="center"/>
    </xf>
    <xf numFmtId="4" fontId="54" fillId="0" borderId="0" xfId="2" applyNumberFormat="1" applyFont="1" applyFill="1" applyAlignment="1">
      <alignment vertical="center"/>
    </xf>
    <xf numFmtId="0" fontId="6" fillId="2" borderId="172" xfId="2" applyNumberFormat="1" applyFont="1" applyFill="1" applyBorder="1" applyAlignment="1" applyProtection="1">
      <alignment horizontal="center" vertical="center"/>
    </xf>
    <xf numFmtId="0" fontId="7" fillId="2" borderId="8" xfId="154" applyFont="1" applyFill="1" applyBorder="1" applyAlignment="1">
      <alignment horizontal="left" vertical="center"/>
    </xf>
    <xf numFmtId="0" fontId="8" fillId="2" borderId="151" xfId="2" applyNumberFormat="1" applyFont="1" applyFill="1" applyBorder="1" applyAlignment="1" applyProtection="1">
      <alignment horizontal="center" vertical="center"/>
    </xf>
    <xf numFmtId="0" fontId="10" fillId="2" borderId="151" xfId="154" applyFont="1" applyFill="1" applyBorder="1" applyAlignment="1">
      <alignment horizontal="left" vertical="center"/>
    </xf>
    <xf numFmtId="0" fontId="7" fillId="2" borderId="151" xfId="154" applyFont="1" applyFill="1" applyBorder="1" applyAlignment="1">
      <alignment horizontal="center" vertical="center"/>
    </xf>
    <xf numFmtId="165" fontId="55" fillId="2" borderId="0" xfId="2" applyNumberFormat="1" applyFont="1" applyFill="1" applyBorder="1" applyAlignment="1" applyProtection="1">
      <alignment horizontal="center" vertical="center"/>
    </xf>
    <xf numFmtId="0" fontId="7" fillId="2" borderId="0" xfId="2" applyFont="1" applyFill="1" applyBorder="1" applyAlignment="1">
      <alignment vertical="center"/>
    </xf>
    <xf numFmtId="0" fontId="3" fillId="2" borderId="0" xfId="2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164" fontId="6" fillId="0" borderId="0" xfId="2" applyNumberFormat="1" applyFont="1" applyFill="1" applyAlignment="1">
      <alignment vertical="center"/>
    </xf>
    <xf numFmtId="4" fontId="3" fillId="2" borderId="0" xfId="2" applyNumberFormat="1" applyFill="1" applyAlignment="1">
      <alignment horizontal="center" vertical="center"/>
    </xf>
    <xf numFmtId="4" fontId="3" fillId="5" borderId="0" xfId="2" applyNumberFormat="1" applyFill="1" applyAlignment="1">
      <alignment horizontal="center" vertical="center"/>
    </xf>
    <xf numFmtId="4" fontId="6" fillId="2" borderId="162" xfId="2" applyNumberFormat="1" applyFont="1" applyFill="1" applyBorder="1" applyAlignment="1" applyProtection="1">
      <alignment horizontal="center" vertical="center"/>
    </xf>
    <xf numFmtId="4" fontId="7" fillId="2" borderId="151" xfId="2" applyNumberFormat="1" applyFont="1" applyFill="1" applyBorder="1" applyAlignment="1" applyProtection="1">
      <alignment horizontal="center" vertical="center"/>
    </xf>
    <xf numFmtId="4" fontId="7" fillId="2" borderId="0" xfId="2" applyNumberFormat="1" applyFont="1" applyFill="1" applyBorder="1" applyAlignment="1" applyProtection="1">
      <alignment horizontal="center" vertical="center"/>
    </xf>
    <xf numFmtId="164" fontId="7" fillId="2" borderId="6" xfId="2" applyNumberFormat="1" applyFont="1" applyFill="1" applyBorder="1" applyAlignment="1" applyProtection="1">
      <alignment horizontal="center" vertical="center"/>
    </xf>
    <xf numFmtId="164" fontId="7" fillId="2" borderId="148" xfId="2" applyNumberFormat="1" applyFont="1" applyFill="1" applyBorder="1" applyAlignment="1" applyProtection="1">
      <alignment horizontal="center" vertical="center"/>
    </xf>
    <xf numFmtId="164" fontId="7" fillId="2" borderId="165" xfId="2" applyNumberFormat="1" applyFont="1" applyFill="1" applyBorder="1" applyAlignment="1" applyProtection="1">
      <alignment horizontal="center" vertical="center"/>
    </xf>
    <xf numFmtId="164" fontId="7" fillId="2" borderId="3" xfId="2" applyNumberFormat="1" applyFont="1" applyFill="1" applyBorder="1" applyAlignment="1" applyProtection="1">
      <alignment horizontal="center" vertical="center"/>
    </xf>
    <xf numFmtId="189" fontId="7" fillId="0" borderId="0" xfId="0" applyNumberFormat="1" applyFont="1" applyFill="1" applyBorder="1" applyAlignment="1">
      <alignment horizontal="center" vertical="center"/>
    </xf>
    <xf numFmtId="189" fontId="7" fillId="0" borderId="174" xfId="0" applyNumberFormat="1" applyFont="1" applyFill="1" applyBorder="1" applyAlignment="1">
      <alignment horizontal="center" vertical="center"/>
    </xf>
    <xf numFmtId="189" fontId="7" fillId="0" borderId="6" xfId="0" applyNumberFormat="1" applyFont="1" applyFill="1" applyBorder="1" applyAlignment="1">
      <alignment horizontal="center" vertical="center"/>
    </xf>
    <xf numFmtId="189" fontId="7" fillId="0" borderId="8" xfId="0" applyNumberFormat="1" applyFont="1" applyFill="1" applyBorder="1" applyAlignment="1">
      <alignment horizontal="center" vertical="center"/>
    </xf>
    <xf numFmtId="189" fontId="7" fillId="0" borderId="175" xfId="0" applyNumberFormat="1" applyFont="1" applyFill="1" applyBorder="1" applyAlignment="1">
      <alignment horizontal="center" vertical="center"/>
    </xf>
    <xf numFmtId="0" fontId="8" fillId="2" borderId="73" xfId="2" applyNumberFormat="1" applyFont="1" applyFill="1" applyBorder="1" applyAlignment="1" applyProtection="1">
      <alignment vertical="center"/>
    </xf>
    <xf numFmtId="189" fontId="7" fillId="0" borderId="151" xfId="0" applyNumberFormat="1" applyFont="1" applyFill="1" applyBorder="1" applyAlignment="1">
      <alignment horizontal="center" vertical="center"/>
    </xf>
    <xf numFmtId="189" fontId="7" fillId="0" borderId="152" xfId="0" applyNumberFormat="1" applyFont="1" applyFill="1" applyBorder="1" applyAlignment="1">
      <alignment horizontal="center" vertical="center"/>
    </xf>
    <xf numFmtId="0" fontId="8" fillId="2" borderId="73" xfId="2" applyNumberFormat="1" applyFont="1" applyFill="1" applyBorder="1" applyAlignment="1" applyProtection="1">
      <alignment horizontal="center" vertical="center"/>
    </xf>
    <xf numFmtId="0" fontId="6" fillId="2" borderId="0" xfId="2" applyNumberFormat="1" applyFont="1" applyFill="1" applyBorder="1" applyAlignment="1" applyProtection="1">
      <alignment horizontal="center" vertical="center"/>
    </xf>
    <xf numFmtId="0" fontId="7" fillId="2" borderId="0" xfId="154" applyFont="1" applyFill="1" applyBorder="1" applyAlignment="1">
      <alignment horizontal="left" vertical="center"/>
    </xf>
    <xf numFmtId="0" fontId="7" fillId="2" borderId="0" xfId="154" applyFont="1" applyFill="1" applyBorder="1" applyAlignment="1">
      <alignment horizontal="center" vertical="center"/>
    </xf>
    <xf numFmtId="0" fontId="8" fillId="2" borderId="0" xfId="2" applyNumberFormat="1" applyFont="1" applyFill="1" applyBorder="1" applyAlignment="1" applyProtection="1">
      <alignment horizontal="center" vertical="center"/>
    </xf>
    <xf numFmtId="0" fontId="10" fillId="2" borderId="0" xfId="154" applyFont="1" applyFill="1" applyBorder="1" applyAlignment="1">
      <alignment horizontal="left" vertical="center"/>
    </xf>
    <xf numFmtId="0" fontId="7" fillId="2" borderId="176" xfId="6" applyFont="1" applyFill="1" applyBorder="1"/>
    <xf numFmtId="0" fontId="7" fillId="2" borderId="177" xfId="6" applyFont="1" applyFill="1" applyBorder="1"/>
    <xf numFmtId="4" fontId="7" fillId="2" borderId="8" xfId="66" applyNumberFormat="1" applyFont="1" applyFill="1" applyBorder="1" applyAlignment="1">
      <alignment horizontal="center"/>
    </xf>
    <xf numFmtId="170" fontId="46" fillId="2" borderId="178" xfId="6" applyNumberFormat="1" applyFont="1" applyFill="1" applyBorder="1" applyAlignment="1">
      <alignment horizontal="center"/>
    </xf>
    <xf numFmtId="0" fontId="6" fillId="2" borderId="165" xfId="2" applyFont="1" applyFill="1" applyBorder="1" applyAlignment="1" applyProtection="1">
      <alignment horizontal="center" vertical="center" wrapText="1"/>
    </xf>
    <xf numFmtId="164" fontId="7" fillId="0" borderId="0" xfId="2" applyNumberFormat="1" applyFont="1" applyFill="1" applyAlignment="1">
      <alignment vertical="center"/>
    </xf>
    <xf numFmtId="189" fontId="25" fillId="0" borderId="0" xfId="0" applyNumberFormat="1" applyFont="1" applyFill="1" applyBorder="1" applyAlignment="1">
      <alignment horizontal="center" vertical="center"/>
    </xf>
    <xf numFmtId="0" fontId="6" fillId="2" borderId="165" xfId="2" applyFont="1" applyFill="1" applyBorder="1" applyAlignment="1" applyProtection="1">
      <alignment horizontal="center" vertical="center" wrapText="1"/>
    </xf>
    <xf numFmtId="4" fontId="56" fillId="2" borderId="0" xfId="2" applyNumberFormat="1" applyFont="1" applyFill="1" applyBorder="1" applyAlignment="1">
      <alignment horizontal="center" vertical="center"/>
    </xf>
    <xf numFmtId="4" fontId="6" fillId="2" borderId="173" xfId="2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center"/>
    </xf>
    <xf numFmtId="0" fontId="6" fillId="0" borderId="158" xfId="2" applyFont="1" applyFill="1" applyBorder="1" applyAlignment="1" applyProtection="1">
      <alignment horizontal="center" vertical="center" textRotation="90" wrapText="1"/>
    </xf>
    <xf numFmtId="0" fontId="6" fillId="0" borderId="160" xfId="2" applyFont="1" applyFill="1" applyBorder="1" applyAlignment="1" applyProtection="1">
      <alignment horizontal="center" vertical="center" textRotation="90" wrapText="1"/>
    </xf>
    <xf numFmtId="0" fontId="6" fillId="0" borderId="159" xfId="2" applyFont="1" applyFill="1" applyBorder="1" applyAlignment="1" applyProtection="1">
      <alignment horizontal="center" vertical="center" textRotation="90" wrapText="1"/>
    </xf>
    <xf numFmtId="0" fontId="6" fillId="0" borderId="161" xfId="2" applyFont="1" applyFill="1" applyBorder="1" applyAlignment="1" applyProtection="1">
      <alignment horizontal="center" vertical="center" textRotation="90" wrapText="1"/>
    </xf>
    <xf numFmtId="0" fontId="6" fillId="0" borderId="159" xfId="2" applyFont="1" applyFill="1" applyBorder="1" applyAlignment="1" applyProtection="1">
      <alignment horizontal="center" vertical="center" wrapText="1"/>
    </xf>
    <xf numFmtId="0" fontId="6" fillId="0" borderId="161" xfId="2" applyFont="1" applyFill="1" applyBorder="1" applyAlignment="1" applyProtection="1">
      <alignment horizontal="center" vertical="center" wrapText="1"/>
    </xf>
    <xf numFmtId="0" fontId="6" fillId="0" borderId="159" xfId="2" applyFont="1" applyFill="1" applyBorder="1" applyAlignment="1" applyProtection="1">
      <alignment horizontal="center" vertical="center"/>
    </xf>
    <xf numFmtId="0" fontId="6" fillId="0" borderId="161" xfId="2" applyFont="1" applyFill="1" applyBorder="1" applyAlignment="1" applyProtection="1">
      <alignment horizontal="center" vertical="center"/>
    </xf>
    <xf numFmtId="0" fontId="5" fillId="0" borderId="16" xfId="2" applyFont="1" applyFill="1" applyBorder="1" applyAlignment="1" applyProtection="1">
      <alignment horizontal="center" vertical="center"/>
    </xf>
    <xf numFmtId="0" fontId="5" fillId="0" borderId="17" xfId="2" applyFont="1" applyFill="1" applyBorder="1" applyAlignment="1" applyProtection="1">
      <alignment horizontal="center" vertical="center"/>
    </xf>
    <xf numFmtId="0" fontId="5" fillId="0" borderId="18" xfId="2" applyFont="1" applyFill="1" applyBorder="1" applyAlignment="1" applyProtection="1">
      <alignment horizontal="center" vertical="center"/>
    </xf>
    <xf numFmtId="0" fontId="6" fillId="0" borderId="106" xfId="66" applyFont="1" applyBorder="1" applyAlignment="1">
      <alignment horizontal="center" vertical="center"/>
    </xf>
    <xf numFmtId="0" fontId="18" fillId="0" borderId="0" xfId="4" applyFont="1" applyFill="1" applyBorder="1" applyAlignment="1" applyProtection="1">
      <alignment horizontal="center"/>
    </xf>
    <xf numFmtId="0" fontId="0" fillId="0" borderId="6" xfId="4" applyFont="1" applyBorder="1" applyAlignment="1" applyProtection="1">
      <alignment horizontal="center"/>
    </xf>
    <xf numFmtId="0" fontId="5" fillId="0" borderId="42" xfId="66" applyFont="1" applyBorder="1" applyAlignment="1">
      <alignment horizontal="center"/>
    </xf>
    <xf numFmtId="0" fontId="5" fillId="0" borderId="41" xfId="66" applyFont="1" applyBorder="1" applyAlignment="1">
      <alignment horizontal="center"/>
    </xf>
    <xf numFmtId="0" fontId="5" fillId="0" borderId="111" xfId="66" applyFont="1" applyBorder="1" applyAlignment="1">
      <alignment horizontal="center"/>
    </xf>
    <xf numFmtId="185" fontId="5" fillId="3" borderId="112" xfId="66" applyNumberFormat="1" applyFont="1" applyFill="1" applyBorder="1" applyAlignment="1">
      <alignment horizontal="center"/>
    </xf>
    <xf numFmtId="185" fontId="5" fillId="3" borderId="113" xfId="66" applyNumberFormat="1" applyFont="1" applyFill="1" applyBorder="1" applyAlignment="1">
      <alignment horizontal="center"/>
    </xf>
    <xf numFmtId="2" fontId="17" fillId="3" borderId="15" xfId="66" applyNumberFormat="1" applyFont="1" applyFill="1" applyBorder="1" applyAlignment="1">
      <alignment horizontal="center"/>
    </xf>
    <xf numFmtId="2" fontId="17" fillId="3" borderId="115" xfId="66" applyNumberFormat="1" applyFont="1" applyFill="1" applyBorder="1" applyAlignment="1">
      <alignment horizontal="center"/>
    </xf>
    <xf numFmtId="0" fontId="5" fillId="4" borderId="31" xfId="66" applyFont="1" applyFill="1" applyBorder="1" applyAlignment="1">
      <alignment horizontal="center"/>
    </xf>
    <xf numFmtId="0" fontId="27" fillId="0" borderId="32" xfId="66" applyFont="1" applyBorder="1" applyAlignment="1">
      <alignment horizontal="center"/>
    </xf>
    <xf numFmtId="0" fontId="5" fillId="4" borderId="1" xfId="66" applyFont="1" applyFill="1" applyBorder="1" applyAlignment="1">
      <alignment horizontal="center"/>
    </xf>
    <xf numFmtId="0" fontId="27" fillId="0" borderId="2" xfId="66" applyFont="1" applyBorder="1" applyAlignment="1">
      <alignment horizontal="center"/>
    </xf>
    <xf numFmtId="0" fontId="7" fillId="2" borderId="125" xfId="4" applyFont="1" applyFill="1" applyBorder="1" applyAlignment="1" applyProtection="1">
      <alignment horizontal="center"/>
    </xf>
    <xf numFmtId="0" fontId="7" fillId="2" borderId="61" xfId="4" applyFont="1" applyFill="1" applyBorder="1" applyAlignment="1" applyProtection="1">
      <alignment horizontal="center"/>
    </xf>
    <xf numFmtId="0" fontId="7" fillId="2" borderId="52" xfId="4" applyFont="1" applyFill="1" applyBorder="1" applyAlignment="1" applyProtection="1">
      <alignment horizontal="center"/>
    </xf>
    <xf numFmtId="0" fontId="0" fillId="0" borderId="125" xfId="4" applyFont="1" applyBorder="1" applyAlignment="1" applyProtection="1">
      <alignment horizontal="center"/>
    </xf>
    <xf numFmtId="0" fontId="0" fillId="0" borderId="61" xfId="4" applyFont="1" applyBorder="1" applyAlignment="1" applyProtection="1">
      <alignment horizontal="center"/>
    </xf>
    <xf numFmtId="0" fontId="0" fillId="0" borderId="52" xfId="4" applyFont="1" applyBorder="1" applyAlignment="1" applyProtection="1">
      <alignment horizontal="center"/>
    </xf>
    <xf numFmtId="0" fontId="0" fillId="0" borderId="6" xfId="4" applyFont="1" applyBorder="1" applyAlignment="1" applyProtection="1">
      <alignment horizontal="center" vertical="center"/>
    </xf>
    <xf numFmtId="4" fontId="5" fillId="0" borderId="16" xfId="2" applyNumberFormat="1" applyFont="1" applyFill="1" applyBorder="1" applyAlignment="1" applyProtection="1">
      <alignment horizontal="center" vertical="center"/>
    </xf>
    <xf numFmtId="4" fontId="5" fillId="0" borderId="17" xfId="2" applyNumberFormat="1" applyFont="1" applyFill="1" applyBorder="1" applyAlignment="1" applyProtection="1">
      <alignment horizontal="center" vertical="center"/>
    </xf>
    <xf numFmtId="4" fontId="5" fillId="0" borderId="18" xfId="2" applyNumberFormat="1" applyFont="1" applyFill="1" applyBorder="1" applyAlignment="1" applyProtection="1">
      <alignment horizontal="center" vertical="center"/>
    </xf>
    <xf numFmtId="0" fontId="5" fillId="0" borderId="55" xfId="0" applyFont="1" applyBorder="1" applyAlignment="1">
      <alignment horizontal="center"/>
    </xf>
    <xf numFmtId="0" fontId="5" fillId="0" borderId="133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10" fillId="0" borderId="133" xfId="0" applyFont="1" applyBorder="1" applyAlignment="1">
      <alignment horizontal="center"/>
    </xf>
    <xf numFmtId="0" fontId="24" fillId="0" borderId="141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2" borderId="57" xfId="0" applyFont="1" applyFill="1" applyBorder="1" applyAlignment="1">
      <alignment horizontal="center" vertical="center" wrapText="1"/>
    </xf>
    <xf numFmtId="0" fontId="23" fillId="2" borderId="59" xfId="0" applyFont="1" applyFill="1" applyBorder="1" applyAlignment="1">
      <alignment horizontal="center" vertical="center" wrapText="1"/>
    </xf>
    <xf numFmtId="0" fontId="23" fillId="2" borderId="128" xfId="0" applyFont="1" applyFill="1" applyBorder="1" applyAlignment="1">
      <alignment horizontal="center" vertical="center" wrapText="1"/>
    </xf>
    <xf numFmtId="0" fontId="23" fillId="2" borderId="129" xfId="0" applyFont="1" applyFill="1" applyBorder="1" applyAlignment="1">
      <alignment horizontal="center" vertical="center" wrapText="1"/>
    </xf>
    <xf numFmtId="1" fontId="23" fillId="0" borderId="12" xfId="0" applyNumberFormat="1" applyFont="1" applyBorder="1" applyAlignment="1">
      <alignment horizontal="center" vertical="center" textRotation="90" wrapText="1"/>
    </xf>
    <xf numFmtId="1" fontId="23" fillId="0" borderId="9" xfId="0" applyNumberFormat="1" applyFont="1" applyBorder="1" applyAlignment="1">
      <alignment horizontal="center" vertical="center" textRotation="90" wrapText="1"/>
    </xf>
    <xf numFmtId="4" fontId="23" fillId="0" borderId="60" xfId="0" applyNumberFormat="1" applyFont="1" applyFill="1" applyBorder="1" applyAlignment="1">
      <alignment horizontal="center"/>
    </xf>
    <xf numFmtId="4" fontId="23" fillId="0" borderId="4" xfId="0" applyNumberFormat="1" applyFont="1" applyFill="1" applyBorder="1" applyAlignment="1">
      <alignment horizontal="center"/>
    </xf>
    <xf numFmtId="4" fontId="23" fillId="0" borderId="5" xfId="0" applyNumberFormat="1" applyFont="1" applyFill="1" applyBorder="1" applyAlignment="1">
      <alignment horizontal="center"/>
    </xf>
    <xf numFmtId="4" fontId="23" fillId="0" borderId="62" xfId="0" applyNumberFormat="1" applyFont="1" applyFill="1" applyBorder="1" applyAlignment="1">
      <alignment horizontal="center"/>
    </xf>
    <xf numFmtId="4" fontId="23" fillId="0" borderId="61" xfId="0" applyNumberFormat="1" applyFont="1" applyFill="1" applyBorder="1" applyAlignment="1">
      <alignment horizontal="center"/>
    </xf>
    <xf numFmtId="4" fontId="23" fillId="0" borderId="63" xfId="0" applyNumberFormat="1" applyFont="1" applyFill="1" applyBorder="1" applyAlignment="1">
      <alignment horizontal="center"/>
    </xf>
    <xf numFmtId="4" fontId="23" fillId="0" borderId="71" xfId="0" applyNumberFormat="1" applyFont="1" applyFill="1" applyBorder="1" applyAlignment="1">
      <alignment horizontal="center"/>
    </xf>
    <xf numFmtId="4" fontId="23" fillId="0" borderId="70" xfId="0" applyNumberFormat="1" applyFont="1" applyFill="1" applyBorder="1" applyAlignment="1">
      <alignment horizontal="center"/>
    </xf>
    <xf numFmtId="4" fontId="23" fillId="0" borderId="72" xfId="0" applyNumberFormat="1" applyFont="1" applyFill="1" applyBorder="1" applyAlignment="1">
      <alignment horizontal="center"/>
    </xf>
    <xf numFmtId="4" fontId="23" fillId="0" borderId="65" xfId="0" applyNumberFormat="1" applyFont="1" applyFill="1" applyBorder="1" applyAlignment="1">
      <alignment horizontal="center"/>
    </xf>
    <xf numFmtId="4" fontId="23" fillId="0" borderId="67" xfId="0" applyNumberFormat="1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3" fillId="0" borderId="86" xfId="9" applyFont="1" applyBorder="1" applyAlignment="1">
      <alignment horizontal="center" wrapText="1"/>
    </xf>
    <xf numFmtId="0" fontId="3" fillId="0" borderId="27" xfId="9" applyFont="1" applyBorder="1" applyAlignment="1">
      <alignment horizontal="center" wrapText="1"/>
    </xf>
    <xf numFmtId="0" fontId="3" fillId="0" borderId="0" xfId="9" applyBorder="1" applyAlignment="1">
      <alignment horizontal="center"/>
    </xf>
    <xf numFmtId="0" fontId="26" fillId="0" borderId="81" xfId="0" applyFont="1" applyBorder="1" applyAlignment="1">
      <alignment horizontal="center" vertical="center"/>
    </xf>
    <xf numFmtId="0" fontId="26" fillId="0" borderId="82" xfId="0" applyFont="1" applyBorder="1" applyAlignment="1">
      <alignment horizontal="center" vertical="center"/>
    </xf>
    <xf numFmtId="0" fontId="26" fillId="0" borderId="83" xfId="0" applyFont="1" applyBorder="1" applyAlignment="1">
      <alignment horizontal="center" vertical="center"/>
    </xf>
    <xf numFmtId="0" fontId="5" fillId="0" borderId="81" xfId="10" applyFont="1" applyBorder="1" applyAlignment="1">
      <alignment horizontal="right" vertical="center"/>
    </xf>
    <xf numFmtId="4" fontId="5" fillId="0" borderId="82" xfId="9" applyNumberFormat="1" applyFont="1" applyBorder="1" applyAlignment="1">
      <alignment horizontal="center" vertical="center"/>
    </xf>
    <xf numFmtId="0" fontId="5" fillId="2" borderId="82" xfId="9" applyFont="1" applyFill="1" applyBorder="1" applyAlignment="1">
      <alignment horizontal="left" vertical="center"/>
    </xf>
    <xf numFmtId="0" fontId="5" fillId="0" borderId="82" xfId="9" applyFont="1" applyBorder="1" applyAlignment="1">
      <alignment horizontal="left" vertical="center"/>
    </xf>
    <xf numFmtId="0" fontId="2" fillId="2" borderId="0" xfId="2" applyFont="1" applyFill="1" applyAlignment="1">
      <alignment horizontal="left" vertical="center" wrapText="1"/>
    </xf>
    <xf numFmtId="0" fontId="26" fillId="0" borderId="81" xfId="66" applyNumberFormat="1" applyFont="1" applyBorder="1" applyAlignment="1">
      <alignment horizontal="center" vertical="center"/>
    </xf>
    <xf numFmtId="0" fontId="26" fillId="0" borderId="82" xfId="66" applyNumberFormat="1" applyFont="1" applyBorder="1" applyAlignment="1">
      <alignment horizontal="center" vertical="center"/>
    </xf>
    <xf numFmtId="0" fontId="26" fillId="0" borderId="83" xfId="66" applyNumberFormat="1" applyFont="1" applyBorder="1" applyAlignment="1">
      <alignment horizontal="center" vertical="center"/>
    </xf>
    <xf numFmtId="0" fontId="5" fillId="0" borderId="82" xfId="10" applyFont="1" applyBorder="1" applyAlignment="1">
      <alignment horizontal="right" vertical="center"/>
    </xf>
    <xf numFmtId="2" fontId="5" fillId="0" borderId="82" xfId="9" applyNumberFormat="1" applyFont="1" applyBorder="1" applyAlignment="1">
      <alignment horizontal="left" vertical="center"/>
    </xf>
    <xf numFmtId="0" fontId="7" fillId="0" borderId="70" xfId="66" applyBorder="1" applyAlignment="1">
      <alignment horizontal="center"/>
    </xf>
    <xf numFmtId="0" fontId="7" fillId="2" borderId="70" xfId="66" applyFill="1" applyBorder="1" applyAlignment="1">
      <alignment horizontal="center"/>
    </xf>
    <xf numFmtId="0" fontId="26" fillId="0" borderId="147" xfId="0" applyFont="1" applyBorder="1" applyAlignment="1">
      <alignment horizontal="center" vertical="center"/>
    </xf>
    <xf numFmtId="0" fontId="26" fillId="0" borderId="148" xfId="0" applyFont="1" applyBorder="1" applyAlignment="1">
      <alignment horizontal="center" vertical="center"/>
    </xf>
    <xf numFmtId="0" fontId="26" fillId="0" borderId="149" xfId="0" applyFont="1" applyBorder="1" applyAlignment="1">
      <alignment horizontal="center" vertical="center"/>
    </xf>
    <xf numFmtId="0" fontId="6" fillId="2" borderId="148" xfId="10" applyFont="1" applyFill="1" applyBorder="1" applyAlignment="1">
      <alignment horizontal="right" vertical="center"/>
    </xf>
    <xf numFmtId="4" fontId="6" fillId="2" borderId="148" xfId="9" applyNumberFormat="1" applyFont="1" applyFill="1" applyBorder="1" applyAlignment="1">
      <alignment horizontal="center" vertical="center"/>
    </xf>
    <xf numFmtId="2" fontId="6" fillId="2" borderId="148" xfId="9" applyNumberFormat="1" applyFont="1" applyFill="1" applyBorder="1" applyAlignment="1">
      <alignment horizontal="left" vertical="center"/>
    </xf>
    <xf numFmtId="2" fontId="6" fillId="2" borderId="149" xfId="9" applyNumberFormat="1" applyFont="1" applyFill="1" applyBorder="1" applyAlignment="1">
      <alignment horizontal="left" vertical="center"/>
    </xf>
    <xf numFmtId="0" fontId="7" fillId="2" borderId="0" xfId="66" applyFill="1" applyBorder="1" applyAlignment="1">
      <alignment horizontal="center"/>
    </xf>
    <xf numFmtId="10" fontId="7" fillId="2" borderId="0" xfId="66" applyNumberFormat="1" applyFill="1" applyBorder="1" applyAlignment="1">
      <alignment horizontal="center"/>
    </xf>
    <xf numFmtId="0" fontId="6" fillId="0" borderId="93" xfId="0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6" fillId="0" borderId="95" xfId="0" applyFont="1" applyFill="1" applyBorder="1" applyAlignment="1">
      <alignment horizontal="center" vertical="center"/>
    </xf>
    <xf numFmtId="0" fontId="26" fillId="0" borderId="81" xfId="0" applyFont="1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26" fillId="0" borderId="83" xfId="0" applyFont="1" applyBorder="1" applyAlignment="1">
      <alignment horizontal="center"/>
    </xf>
    <xf numFmtId="2" fontId="46" fillId="0" borderId="19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0" fontId="5" fillId="0" borderId="19" xfId="10" applyFont="1" applyBorder="1" applyAlignment="1">
      <alignment horizontal="right" vertical="center"/>
    </xf>
    <xf numFmtId="4" fontId="4" fillId="0" borderId="0" xfId="9" applyNumberFormat="1" applyFont="1" applyBorder="1" applyAlignment="1">
      <alignment horizontal="center" vertical="center"/>
    </xf>
    <xf numFmtId="4" fontId="4" fillId="2" borderId="0" xfId="9" applyNumberFormat="1" applyFont="1" applyFill="1" applyBorder="1" applyAlignment="1">
      <alignment horizontal="center" vertical="center"/>
    </xf>
    <xf numFmtId="0" fontId="5" fillId="0" borderId="81" xfId="9" applyFont="1" applyBorder="1" applyAlignment="1">
      <alignment horizontal="right"/>
    </xf>
    <xf numFmtId="0" fontId="5" fillId="0" borderId="82" xfId="9" applyFont="1" applyBorder="1" applyAlignment="1">
      <alignment horizontal="right"/>
    </xf>
    <xf numFmtId="4" fontId="40" fillId="0" borderId="0" xfId="9" applyNumberFormat="1" applyFont="1" applyBorder="1" applyAlignment="1">
      <alignment horizontal="center"/>
    </xf>
    <xf numFmtId="179" fontId="6" fillId="0" borderId="88" xfId="1" applyNumberFormat="1" applyFont="1" applyFill="1" applyBorder="1" applyAlignment="1" applyProtection="1">
      <alignment horizontal="center" vertical="center"/>
    </xf>
    <xf numFmtId="179" fontId="6" fillId="0" borderId="89" xfId="1" applyNumberFormat="1" applyFont="1" applyFill="1" applyBorder="1" applyAlignment="1" applyProtection="1">
      <alignment horizontal="center" vertical="center"/>
    </xf>
    <xf numFmtId="179" fontId="6" fillId="0" borderId="90" xfId="1" applyNumberFormat="1" applyFont="1" applyFill="1" applyBorder="1" applyAlignment="1" applyProtection="1">
      <alignment horizontal="center" vertical="center"/>
    </xf>
    <xf numFmtId="2" fontId="7" fillId="2" borderId="19" xfId="10" applyNumberFormat="1" applyFont="1" applyFill="1" applyBorder="1" applyAlignment="1" applyProtection="1">
      <alignment horizontal="left" wrapText="1"/>
    </xf>
    <xf numFmtId="2" fontId="7" fillId="2" borderId="0" xfId="10" applyNumberFormat="1" applyFont="1" applyFill="1" applyBorder="1" applyAlignment="1" applyProtection="1">
      <alignment horizontal="left" wrapText="1"/>
    </xf>
    <xf numFmtId="0" fontId="3" fillId="0" borderId="85" xfId="9" applyFont="1" applyBorder="1" applyAlignment="1">
      <alignment horizontal="center" wrapText="1"/>
    </xf>
    <xf numFmtId="0" fontId="3" fillId="0" borderId="101" xfId="9" applyFont="1" applyBorder="1" applyAlignment="1">
      <alignment horizontal="center" wrapText="1"/>
    </xf>
    <xf numFmtId="0" fontId="3" fillId="0" borderId="100" xfId="9" applyFont="1" applyBorder="1" applyAlignment="1">
      <alignment horizontal="center" wrapText="1"/>
    </xf>
    <xf numFmtId="4" fontId="6" fillId="2" borderId="179" xfId="2" applyNumberFormat="1" applyFont="1" applyFill="1" applyBorder="1" applyAlignment="1" applyProtection="1">
      <alignment horizontal="center" vertical="center"/>
    </xf>
    <xf numFmtId="4" fontId="6" fillId="0" borderId="180" xfId="2" applyNumberFormat="1" applyFont="1" applyFill="1" applyBorder="1" applyAlignment="1" applyProtection="1">
      <alignment horizontal="center" vertical="center"/>
    </xf>
    <xf numFmtId="0" fontId="6" fillId="0" borderId="74" xfId="2" applyNumberFormat="1" applyFont="1" applyFill="1" applyBorder="1" applyAlignment="1" applyProtection="1">
      <alignment vertical="center"/>
    </xf>
    <xf numFmtId="0" fontId="6" fillId="2" borderId="179" xfId="2" applyFont="1" applyFill="1" applyBorder="1" applyAlignment="1" applyProtection="1">
      <alignment horizontal="right" vertical="center" wrapText="1"/>
    </xf>
    <xf numFmtId="165" fontId="7" fillId="2" borderId="181" xfId="2" applyNumberFormat="1" applyFont="1" applyFill="1" applyBorder="1" applyAlignment="1" applyProtection="1">
      <alignment horizontal="center" vertical="center"/>
    </xf>
    <xf numFmtId="165" fontId="7" fillId="2" borderId="182" xfId="2" applyNumberFormat="1" applyFont="1" applyFill="1" applyBorder="1" applyAlignment="1" applyProtection="1">
      <alignment horizontal="center" vertical="center"/>
    </xf>
    <xf numFmtId="165" fontId="6" fillId="2" borderId="149" xfId="2" applyNumberFormat="1" applyFont="1" applyFill="1" applyBorder="1" applyAlignment="1" applyProtection="1">
      <alignment vertical="center"/>
    </xf>
    <xf numFmtId="165" fontId="7" fillId="2" borderId="183" xfId="2" applyNumberFormat="1" applyFont="1" applyFill="1" applyBorder="1" applyAlignment="1" applyProtection="1">
      <alignment horizontal="center" vertical="center"/>
    </xf>
    <xf numFmtId="165" fontId="7" fillId="2" borderId="130" xfId="2" applyNumberFormat="1" applyFont="1" applyFill="1" applyBorder="1" applyAlignment="1" applyProtection="1">
      <alignment horizontal="center" vertical="center"/>
    </xf>
    <xf numFmtId="165" fontId="7" fillId="2" borderId="184" xfId="2" applyNumberFormat="1" applyFont="1" applyFill="1" applyBorder="1" applyAlignment="1" applyProtection="1">
      <alignment horizontal="center" vertical="center"/>
    </xf>
    <xf numFmtId="164" fontId="7" fillId="2" borderId="8" xfId="2" applyNumberFormat="1" applyFont="1" applyFill="1" applyBorder="1" applyAlignment="1" applyProtection="1">
      <alignment horizontal="center" vertical="center"/>
    </xf>
    <xf numFmtId="189" fontId="7" fillId="0" borderId="74" xfId="0" applyNumberFormat="1" applyFont="1" applyFill="1" applyBorder="1" applyAlignment="1">
      <alignment horizontal="center" vertical="center"/>
    </xf>
  </cellXfs>
  <cellStyles count="155">
    <cellStyle name="Euro" xfId="20"/>
    <cellStyle name="Euro 2" xfId="26"/>
    <cellStyle name="Euro 3" xfId="58"/>
    <cellStyle name="Euro 4" xfId="74"/>
    <cellStyle name="Euro 5" xfId="110"/>
    <cellStyle name="Euro 6" xfId="126"/>
    <cellStyle name="Euro_Hoja2" xfId="103"/>
    <cellStyle name="F2" xfId="13"/>
    <cellStyle name="F2 2" xfId="27"/>
    <cellStyle name="F2 3" xfId="59"/>
    <cellStyle name="F2 4" xfId="75"/>
    <cellStyle name="F2 5" xfId="111"/>
    <cellStyle name="F2 6" xfId="127"/>
    <cellStyle name="F2_Hoja2" xfId="102"/>
    <cellStyle name="F3" xfId="14"/>
    <cellStyle name="F3 2" xfId="28"/>
    <cellStyle name="F3 3" xfId="60"/>
    <cellStyle name="F3 4" xfId="76"/>
    <cellStyle name="F3 5" xfId="112"/>
    <cellStyle name="F3 6" xfId="128"/>
    <cellStyle name="F3_Hoja2" xfId="101"/>
    <cellStyle name="F4" xfId="15"/>
    <cellStyle name="F4 2" xfId="29"/>
    <cellStyle name="F4 3" xfId="61"/>
    <cellStyle name="F4 4" xfId="77"/>
    <cellStyle name="F4 5" xfId="113"/>
    <cellStyle name="F4 6" xfId="129"/>
    <cellStyle name="F4_Hoja2" xfId="100"/>
    <cellStyle name="F5" xfId="16"/>
    <cellStyle name="F5 2" xfId="30"/>
    <cellStyle name="F5 3" xfId="62"/>
    <cellStyle name="F5 4" xfId="78"/>
    <cellStyle name="F5 5" xfId="114"/>
    <cellStyle name="F5 6" xfId="130"/>
    <cellStyle name="F5_Hoja2" xfId="99"/>
    <cellStyle name="F6" xfId="17"/>
    <cellStyle name="F6 2" xfId="31"/>
    <cellStyle name="F6 3" xfId="63"/>
    <cellStyle name="F6 4" xfId="79"/>
    <cellStyle name="F6 5" xfId="115"/>
    <cellStyle name="F6 6" xfId="131"/>
    <cellStyle name="F6_Hoja2" xfId="98"/>
    <cellStyle name="F7" xfId="18"/>
    <cellStyle name="F7 2" xfId="32"/>
    <cellStyle name="F7 3" xfId="64"/>
    <cellStyle name="F7 4" xfId="80"/>
    <cellStyle name="F7 5" xfId="116"/>
    <cellStyle name="F7 6" xfId="132"/>
    <cellStyle name="F7_Hoja2" xfId="97"/>
    <cellStyle name="F8" xfId="19"/>
    <cellStyle name="F8 2" xfId="33"/>
    <cellStyle name="F8 3" xfId="65"/>
    <cellStyle name="F8 4" xfId="81"/>
    <cellStyle name="F8 5" xfId="117"/>
    <cellStyle name="F8 6" xfId="133"/>
    <cellStyle name="F8_Hoja2" xfId="93"/>
    <cellStyle name="Hipervínculo" xfId="3" builtinId="8"/>
    <cellStyle name="Millares 2 2" xfId="139"/>
    <cellStyle name="Millares 2 3" xfId="141"/>
    <cellStyle name="Millares 2 4" xfId="143"/>
    <cellStyle name="Millares 5" xfId="146"/>
    <cellStyle name="Millares_A-Análisis de Precios" xfId="11"/>
    <cellStyle name="Moneda [0]" xfId="1" builtinId="7"/>
    <cellStyle name="Moneda 8" xfId="145"/>
    <cellStyle name="Normal" xfId="0" builtinId="0"/>
    <cellStyle name="Normal 10" xfId="92"/>
    <cellStyle name="Normal 11" xfId="34"/>
    <cellStyle name="Normal 12" xfId="35"/>
    <cellStyle name="Normal 13" xfId="91"/>
    <cellStyle name="Normal 14" xfId="90"/>
    <cellStyle name="Normal 15" xfId="89"/>
    <cellStyle name="Normal 16" xfId="88"/>
    <cellStyle name="Normal 17" xfId="87"/>
    <cellStyle name="Normal 18" xfId="82"/>
    <cellStyle name="Normal 19" xfId="125"/>
    <cellStyle name="Normal 2 10" xfId="66"/>
    <cellStyle name="Normal 2 11" xfId="83"/>
    <cellStyle name="Normal 2 12" xfId="118"/>
    <cellStyle name="Normal 2 13" xfId="134"/>
    <cellStyle name="Normal 2 14" xfId="140"/>
    <cellStyle name="Normal 2 15" xfId="142"/>
    <cellStyle name="Normal 2 16" xfId="144"/>
    <cellStyle name="Normal 2 17" xfId="151"/>
    <cellStyle name="Normal 2 18" xfId="150"/>
    <cellStyle name="Normal 2 2" xfId="109"/>
    <cellStyle name="Normal 2 2 2" xfId="21"/>
    <cellStyle name="Normal 2 2 2 2" xfId="37"/>
    <cellStyle name="Normal 2 2 2 3" xfId="148"/>
    <cellStyle name="Normal 2 2 2 4" xfId="149"/>
    <cellStyle name="Normal 2 2 3" xfId="67"/>
    <cellStyle name="Normal 2 2 4" xfId="84"/>
    <cellStyle name="Normal 2 2 5" xfId="119"/>
    <cellStyle name="Normal 2 2 6" xfId="135"/>
    <cellStyle name="Normal 2 2 7" xfId="147"/>
    <cellStyle name="Normal 2 2 8" xfId="152"/>
    <cellStyle name="Normal 2 2_Hoja2" xfId="73"/>
    <cellStyle name="Normal 2 3" xfId="24"/>
    <cellStyle name="Normal 2 3 2" xfId="38"/>
    <cellStyle name="Normal 2 3 3" xfId="68"/>
    <cellStyle name="Normal 2 3 4" xfId="85"/>
    <cellStyle name="Normal 2 3 5" xfId="120"/>
    <cellStyle name="Normal 2 3 6" xfId="136"/>
    <cellStyle name="Normal 2 3_Hoja2" xfId="104"/>
    <cellStyle name="Normal 2 4" xfId="25"/>
    <cellStyle name="Normal 2 4 2" xfId="39"/>
    <cellStyle name="Normal 2 4 3" xfId="69"/>
    <cellStyle name="Normal 2 4 4" xfId="86"/>
    <cellStyle name="Normal 2 4 5" xfId="121"/>
    <cellStyle name="Normal 2 4 6" xfId="137"/>
    <cellStyle name="Normal 2 4_Hoja2" xfId="105"/>
    <cellStyle name="Normal 2 5" xfId="36"/>
    <cellStyle name="Normal 2 6" xfId="40"/>
    <cellStyle name="Normal 2 7" xfId="41"/>
    <cellStyle name="Normal 2 8" xfId="42"/>
    <cellStyle name="Normal 2 9" xfId="43"/>
    <cellStyle name="Normal 3" xfId="22"/>
    <cellStyle name="Normal 3 2" xfId="44"/>
    <cellStyle name="Normal 3 3" xfId="45"/>
    <cellStyle name="Normal 3 4" xfId="46"/>
    <cellStyle name="Normal 3 5" xfId="47"/>
    <cellStyle name="Normal 3 6" xfId="48"/>
    <cellStyle name="Normal 3 7" xfId="49"/>
    <cellStyle name="Normal 3 8" xfId="50"/>
    <cellStyle name="Normal 3 9" xfId="51"/>
    <cellStyle name="Normal 4" xfId="23"/>
    <cellStyle name="Normal 4 2" xfId="52"/>
    <cellStyle name="Normal 4 3" xfId="70"/>
    <cellStyle name="Normal 4 4" xfId="94"/>
    <cellStyle name="Normal 4 5" xfId="122"/>
    <cellStyle name="Normal 4 6" xfId="138"/>
    <cellStyle name="Normal 4_Hoja2" xfId="106"/>
    <cellStyle name="Normal 5" xfId="123"/>
    <cellStyle name="Normal 5 2" xfId="53"/>
    <cellStyle name="Normal 5 3" xfId="71"/>
    <cellStyle name="Normal 5 4" xfId="95"/>
    <cellStyle name="Normal 6" xfId="124"/>
    <cellStyle name="Normal 6 2" xfId="54"/>
    <cellStyle name="Normal 6 3" xfId="72"/>
    <cellStyle name="Normal 6 4" xfId="96"/>
    <cellStyle name="Normal 7" xfId="55"/>
    <cellStyle name="Normal 8" xfId="56"/>
    <cellStyle name="Normal 9" xfId="57"/>
    <cellStyle name="Normal_Cantidades de obras" xfId="154"/>
    <cellStyle name="Normal_COSTMAT" xfId="7"/>
    <cellStyle name="Normal_EQUIPO" xfId="5"/>
    <cellStyle name="Normal_FACTOR" xfId="2"/>
    <cellStyle name="Normal_FACTOR (2)" xfId="9"/>
    <cellStyle name="Normal_HORMIGON B" xfId="12"/>
    <cellStyle name="Normal_JORNALES" xfId="4"/>
    <cellStyle name="Normal_PRECIOS BASICOS" xfId="6"/>
    <cellStyle name="Normal_Terraplén" xfId="10"/>
    <cellStyle name="Porcentual 2" xfId="153"/>
    <cellStyle name="Porcentual 5" xfId="8"/>
    <cellStyle name="Porcentual 8" xfId="107"/>
    <cellStyle name="Porcentual 9" xfId="108"/>
  </cellStyles>
  <dxfs count="0"/>
  <tableStyles count="0" defaultTableStyle="TableStyleMedium9" defaultPivotStyle="PivotStyleLight16"/>
  <colors>
    <mruColors>
      <color rgb="FFCC0066"/>
      <color rgb="FF990000"/>
      <color rgb="FFFF6600"/>
      <color rgb="FF009999"/>
      <color rgb="FFCCFFFF"/>
      <color rgb="FFFF33CC"/>
      <color rgb="FFA60A37"/>
      <color rgb="FF29978D"/>
      <color rgb="FFFF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uocra.org/escalas_salariales/leyesdecretosytablas.ht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66"/>
  </sheetPr>
  <dimension ref="A1:M28"/>
  <sheetViews>
    <sheetView showGridLines="0" tabSelected="1" view="pageBreakPreview" zoomScaleNormal="100" zoomScaleSheetLayoutView="100" workbookViewId="0">
      <selection activeCell="E32" sqref="E32"/>
    </sheetView>
  </sheetViews>
  <sheetFormatPr baseColWidth="10" defaultRowHeight="15"/>
  <cols>
    <col min="1" max="1" width="6.7109375" style="5" customWidth="1"/>
    <col min="2" max="2" width="0.85546875" style="5" customWidth="1"/>
    <col min="3" max="3" width="2.7109375" style="264" customWidth="1"/>
    <col min="4" max="4" width="5.140625" style="264" customWidth="1"/>
    <col min="5" max="5" width="41.28515625" style="7" customWidth="1"/>
    <col min="6" max="6" width="6.42578125" style="264" customWidth="1"/>
    <col min="7" max="7" width="14.85546875" style="880" customWidth="1"/>
    <col min="8" max="8" width="14.85546875" style="8" customWidth="1"/>
    <col min="9" max="9" width="16.42578125" style="264" customWidth="1"/>
    <col min="10" max="10" width="14.28515625" style="264" bestFit="1" customWidth="1"/>
    <col min="11" max="12" width="11.42578125" style="264" customWidth="1"/>
    <col min="13" max="16384" width="11.42578125" style="264"/>
  </cols>
  <sheetData>
    <row r="1" spans="1:13">
      <c r="G1" s="704"/>
    </row>
    <row r="2" spans="1:13" ht="48.75" customHeight="1">
      <c r="C2" s="913" t="s">
        <v>405</v>
      </c>
      <c r="D2" s="914"/>
      <c r="E2" s="914"/>
      <c r="F2" s="914"/>
      <c r="G2" s="914"/>
      <c r="H2" s="914"/>
    </row>
    <row r="3" spans="1:13" ht="16.5" customHeight="1">
      <c r="C3" s="809"/>
      <c r="D3" s="808"/>
      <c r="E3" s="808"/>
      <c r="F3" s="808"/>
      <c r="G3" s="808"/>
      <c r="H3" s="808"/>
    </row>
    <row r="4" spans="1:13" ht="15" customHeight="1">
      <c r="C4" s="912" t="s">
        <v>401</v>
      </c>
      <c r="D4" s="912"/>
      <c r="E4" s="912"/>
      <c r="F4" s="912"/>
      <c r="G4" s="912"/>
      <c r="H4" s="912"/>
    </row>
    <row r="5" spans="1:13" ht="15" customHeight="1">
      <c r="C5" s="912" t="s">
        <v>372</v>
      </c>
      <c r="D5" s="912"/>
      <c r="E5" s="912"/>
      <c r="F5" s="912"/>
      <c r="G5" s="912"/>
      <c r="H5" s="912"/>
    </row>
    <row r="6" spans="1:13" s="831" customFormat="1" ht="15.75">
      <c r="A6" s="830"/>
      <c r="B6" s="830"/>
      <c r="C6" s="912"/>
      <c r="D6" s="912"/>
      <c r="E6" s="912"/>
      <c r="F6" s="912"/>
      <c r="G6" s="912"/>
      <c r="H6" s="912"/>
    </row>
    <row r="7" spans="1:13" s="831" customFormat="1" ht="13.5" customHeight="1" thickBot="1">
      <c r="A7" s="830"/>
      <c r="B7" s="830"/>
      <c r="C7" s="832"/>
      <c r="D7" s="832"/>
      <c r="E7" s="832"/>
      <c r="F7" s="832"/>
      <c r="G7" s="832"/>
      <c r="H7" s="832"/>
    </row>
    <row r="8" spans="1:13" ht="18" customHeight="1" thickTop="1" thickBot="1">
      <c r="C8" s="915" t="s">
        <v>373</v>
      </c>
      <c r="D8" s="917" t="s">
        <v>374</v>
      </c>
      <c r="E8" s="919" t="s">
        <v>375</v>
      </c>
      <c r="F8" s="921" t="s">
        <v>376</v>
      </c>
      <c r="G8" s="911" t="s">
        <v>402</v>
      </c>
      <c r="H8" s="1032"/>
    </row>
    <row r="9" spans="1:13" ht="18" customHeight="1" thickBot="1">
      <c r="C9" s="916"/>
      <c r="D9" s="918"/>
      <c r="E9" s="920"/>
      <c r="F9" s="922"/>
      <c r="G9" s="881" t="s">
        <v>403</v>
      </c>
      <c r="H9" s="1033" t="s">
        <v>168</v>
      </c>
    </row>
    <row r="10" spans="1:13" thickTop="1" thickBot="1">
      <c r="C10" s="833"/>
      <c r="D10" s="834"/>
      <c r="E10" s="834"/>
      <c r="F10" s="834"/>
      <c r="G10" s="835"/>
      <c r="H10" s="1034"/>
      <c r="K10" s="836"/>
      <c r="M10" s="837"/>
    </row>
    <row r="11" spans="1:13" ht="18" customHeight="1" thickTop="1">
      <c r="C11" s="838">
        <v>1</v>
      </c>
      <c r="D11" s="839"/>
      <c r="E11" s="909" t="s">
        <v>377</v>
      </c>
      <c r="F11" s="909"/>
      <c r="G11" s="909"/>
      <c r="H11" s="1035"/>
      <c r="I11" s="840"/>
      <c r="M11" s="837"/>
    </row>
    <row r="12" spans="1:13" ht="18" customHeight="1">
      <c r="A12" s="841"/>
      <c r="B12" s="841"/>
      <c r="C12" s="842"/>
      <c r="D12" s="843" t="s">
        <v>378</v>
      </c>
      <c r="E12" s="844" t="s">
        <v>379</v>
      </c>
      <c r="F12" s="845" t="s">
        <v>380</v>
      </c>
      <c r="G12" s="884">
        <f>+H12/'Coeficiente Resumen'!$D$19</f>
        <v>10630.276774969916</v>
      </c>
      <c r="H12" s="1036">
        <f>+'1.1'!D27</f>
        <v>17667.52</v>
      </c>
      <c r="I12" s="846"/>
      <c r="J12" s="846"/>
      <c r="K12" s="847"/>
      <c r="L12" s="848"/>
      <c r="M12" s="837"/>
    </row>
    <row r="13" spans="1:13" ht="27.75" customHeight="1" thickBot="1">
      <c r="A13" s="841"/>
      <c r="B13" s="841"/>
      <c r="C13" s="849"/>
      <c r="D13" s="843">
        <v>1.2</v>
      </c>
      <c r="E13" s="850" t="s">
        <v>381</v>
      </c>
      <c r="F13" s="851" t="s">
        <v>382</v>
      </c>
      <c r="G13" s="884">
        <f>+H13/'Coeficiente Resumen'!$D$19</f>
        <v>53.29121540312876</v>
      </c>
      <c r="H13" s="1037">
        <f>+'1.2'!D30</f>
        <v>88.57</v>
      </c>
      <c r="I13" s="846"/>
      <c r="J13" s="846"/>
      <c r="K13" s="847"/>
      <c r="L13" s="848"/>
      <c r="M13" s="837"/>
    </row>
    <row r="14" spans="1:13" ht="18" customHeight="1" thickTop="1" thickBot="1">
      <c r="A14" s="841"/>
      <c r="B14" s="841"/>
      <c r="C14" s="852"/>
      <c r="D14" s="853"/>
      <c r="E14" s="853"/>
      <c r="F14" s="853"/>
      <c r="G14" s="885"/>
      <c r="H14" s="1038"/>
      <c r="I14" s="846"/>
      <c r="J14" s="846"/>
      <c r="K14" s="847"/>
      <c r="L14" s="848"/>
      <c r="M14" s="837"/>
    </row>
    <row r="15" spans="1:13" ht="18" customHeight="1" thickTop="1">
      <c r="A15" s="841"/>
      <c r="B15" s="841"/>
      <c r="C15" s="838">
        <v>2</v>
      </c>
      <c r="D15" s="854"/>
      <c r="E15" s="906" t="s">
        <v>383</v>
      </c>
      <c r="F15" s="855"/>
      <c r="G15" s="886"/>
      <c r="H15" s="1035"/>
      <c r="I15" s="846"/>
      <c r="J15" s="846"/>
      <c r="K15" s="847"/>
      <c r="L15" s="848"/>
      <c r="M15" s="837"/>
    </row>
    <row r="16" spans="1:13" ht="18" customHeight="1">
      <c r="A16" s="841"/>
      <c r="B16" s="841"/>
      <c r="C16" s="842"/>
      <c r="D16" s="856" t="s">
        <v>384</v>
      </c>
      <c r="E16" s="844" t="s">
        <v>385</v>
      </c>
      <c r="F16" s="845" t="s">
        <v>382</v>
      </c>
      <c r="G16" s="884">
        <f>+H16/'Coeficiente Resumen'!$D$19</f>
        <v>625.98676293622145</v>
      </c>
      <c r="H16" s="1036">
        <f>+Geobolsas!D35</f>
        <v>1040.3900000000001</v>
      </c>
      <c r="I16" s="846"/>
      <c r="J16" s="846"/>
      <c r="K16" s="847"/>
      <c r="L16" s="848"/>
      <c r="M16" s="837"/>
    </row>
    <row r="17" spans="1:13" ht="27.75" customHeight="1">
      <c r="A17" s="841"/>
      <c r="B17" s="841"/>
      <c r="C17" s="842"/>
      <c r="D17" s="856" t="s">
        <v>386</v>
      </c>
      <c r="E17" s="850" t="s">
        <v>387</v>
      </c>
      <c r="F17" s="845" t="s">
        <v>388</v>
      </c>
      <c r="G17" s="884">
        <f>+H17/'Coeficiente Resumen'!$D$19</f>
        <v>118.26113116726836</v>
      </c>
      <c r="H17" s="1036">
        <f>+Geoceldas!D35</f>
        <v>196.55</v>
      </c>
      <c r="I17" s="846"/>
      <c r="J17" s="846"/>
      <c r="K17" s="847"/>
      <c r="L17" s="848"/>
      <c r="M17" s="837"/>
    </row>
    <row r="18" spans="1:13" ht="18" customHeight="1">
      <c r="A18" s="841"/>
      <c r="B18" s="841"/>
      <c r="C18" s="842"/>
      <c r="D18" s="856" t="s">
        <v>389</v>
      </c>
      <c r="E18" s="844" t="s">
        <v>261</v>
      </c>
      <c r="F18" s="845" t="s">
        <v>388</v>
      </c>
      <c r="G18" s="884">
        <f>+H18/'Coeficiente Resumen'!$D$19</f>
        <v>8.0445246690734056</v>
      </c>
      <c r="H18" s="1036">
        <f>+Geotextil!E24</f>
        <v>13.37</v>
      </c>
      <c r="I18" s="846"/>
      <c r="J18" s="846"/>
      <c r="K18" s="847"/>
      <c r="L18" s="848"/>
      <c r="M18" s="837"/>
    </row>
    <row r="19" spans="1:13" ht="18" customHeight="1">
      <c r="A19" s="841"/>
      <c r="B19" s="841"/>
      <c r="C19" s="842"/>
      <c r="D19" s="856">
        <v>2.4</v>
      </c>
      <c r="E19" s="850" t="s">
        <v>390</v>
      </c>
      <c r="F19" s="845" t="s">
        <v>382</v>
      </c>
      <c r="G19" s="884">
        <f>+H19/'Coeficiente Resumen'!$D$19</f>
        <v>274.73525872442843</v>
      </c>
      <c r="H19" s="1036">
        <f>+'Geotubos 1,5m2'!E41</f>
        <v>456.61</v>
      </c>
      <c r="I19" s="846"/>
      <c r="J19" s="846"/>
      <c r="K19" s="847"/>
      <c r="L19" s="848"/>
      <c r="M19" s="837"/>
    </row>
    <row r="20" spans="1:13" ht="18" customHeight="1" thickBot="1">
      <c r="A20" s="841"/>
      <c r="B20" s="841"/>
      <c r="C20" s="857"/>
      <c r="D20" s="858">
        <v>2.5</v>
      </c>
      <c r="E20" s="859" t="s">
        <v>391</v>
      </c>
      <c r="F20" s="860" t="s">
        <v>382</v>
      </c>
      <c r="G20" s="887">
        <f>+H20/'Coeficiente Resumen'!$D$19</f>
        <v>237.70758122743683</v>
      </c>
      <c r="H20" s="1039">
        <f>+'Geotubos 3m2'!E41</f>
        <v>395.07</v>
      </c>
      <c r="I20" s="846"/>
      <c r="J20" s="846"/>
      <c r="K20" s="847"/>
      <c r="L20" s="848"/>
      <c r="M20" s="837"/>
    </row>
    <row r="21" spans="1:13" ht="18" customHeight="1" thickTop="1" thickBot="1">
      <c r="A21" s="841"/>
      <c r="B21" s="841"/>
      <c r="C21" s="861"/>
      <c r="D21" s="862"/>
      <c r="E21" s="863"/>
      <c r="F21" s="864"/>
      <c r="G21" s="885"/>
      <c r="H21" s="1040"/>
      <c r="I21" s="846"/>
      <c r="J21" s="846"/>
      <c r="K21" s="847"/>
      <c r="L21" s="848"/>
      <c r="M21" s="837"/>
    </row>
    <row r="22" spans="1:13" ht="18" customHeight="1" thickTop="1">
      <c r="A22" s="841"/>
      <c r="B22" s="841"/>
      <c r="C22" s="838">
        <v>3</v>
      </c>
      <c r="D22" s="854"/>
      <c r="E22" s="906" t="s">
        <v>392</v>
      </c>
      <c r="F22" s="855"/>
      <c r="G22" s="886"/>
      <c r="H22" s="1035"/>
      <c r="I22" s="846"/>
      <c r="J22" s="846"/>
      <c r="K22" s="847"/>
      <c r="L22" s="848"/>
      <c r="M22" s="837"/>
    </row>
    <row r="23" spans="1:13" ht="18" customHeight="1">
      <c r="A23" s="841"/>
      <c r="B23" s="841"/>
      <c r="C23" s="865"/>
      <c r="D23" s="856" t="s">
        <v>393</v>
      </c>
      <c r="E23" s="866" t="s">
        <v>394</v>
      </c>
      <c r="F23" s="867" t="s">
        <v>395</v>
      </c>
      <c r="G23" s="884">
        <f>+H23/'Coeficiente Resumen'!$D$19</f>
        <v>6530</v>
      </c>
      <c r="H23" s="1041">
        <f>+'3.1'!E38</f>
        <v>10852.859999999999</v>
      </c>
      <c r="I23" s="868"/>
      <c r="J23" s="846"/>
      <c r="K23" s="847"/>
      <c r="L23" s="848"/>
      <c r="M23" s="837"/>
    </row>
    <row r="24" spans="1:13" ht="18" customHeight="1">
      <c r="A24" s="841"/>
      <c r="B24" s="841"/>
      <c r="C24" s="842"/>
      <c r="D24" s="856" t="s">
        <v>396</v>
      </c>
      <c r="E24" s="844" t="s">
        <v>397</v>
      </c>
      <c r="F24" s="845" t="s">
        <v>395</v>
      </c>
      <c r="G24" s="884">
        <f>+H24/'Coeficiente Resumen'!$D$19</f>
        <v>2690</v>
      </c>
      <c r="H24" s="1036">
        <f>+'3.2'!D15</f>
        <v>4470.78</v>
      </c>
      <c r="I24" s="868"/>
      <c r="J24" s="846"/>
      <c r="K24" s="847"/>
      <c r="L24" s="848"/>
      <c r="M24" s="837"/>
    </row>
    <row r="25" spans="1:13" ht="18" customHeight="1" thickBot="1">
      <c r="A25" s="841"/>
      <c r="B25" s="841"/>
      <c r="C25" s="857"/>
      <c r="D25" s="869" t="s">
        <v>398</v>
      </c>
      <c r="E25" s="870" t="s">
        <v>399</v>
      </c>
      <c r="F25" s="860" t="s">
        <v>400</v>
      </c>
      <c r="G25" s="1042">
        <f>+H25/'Coeficiente Resumen'!$D$19</f>
        <v>157583.21299638989</v>
      </c>
      <c r="H25" s="1039">
        <v>261903.3</v>
      </c>
      <c r="I25" s="868" t="s">
        <v>404</v>
      </c>
      <c r="J25" s="907"/>
      <c r="L25" s="848"/>
    </row>
    <row r="26" spans="1:13" ht="14.25" thickTop="1">
      <c r="A26" s="841"/>
      <c r="B26" s="841"/>
      <c r="C26" s="871"/>
      <c r="D26" s="871"/>
      <c r="E26" s="872"/>
      <c r="F26" s="873"/>
      <c r="G26" s="882"/>
      <c r="H26" s="874"/>
      <c r="J26" s="907"/>
      <c r="K26" s="840"/>
    </row>
    <row r="27" spans="1:13" ht="14.25">
      <c r="C27" s="875"/>
      <c r="D27" s="876"/>
      <c r="E27" s="877"/>
      <c r="F27" s="876"/>
      <c r="G27" s="910"/>
      <c r="H27" s="910"/>
      <c r="J27" s="878"/>
    </row>
    <row r="28" spans="1:13">
      <c r="G28" s="879"/>
    </row>
  </sheetData>
  <mergeCells count="11">
    <mergeCell ref="E11:G11"/>
    <mergeCell ref="G27:H27"/>
    <mergeCell ref="G8:H8"/>
    <mergeCell ref="C5:H5"/>
    <mergeCell ref="C2:H2"/>
    <mergeCell ref="C4:H4"/>
    <mergeCell ref="C6:H6"/>
    <mergeCell ref="C8:C9"/>
    <mergeCell ref="D8:D9"/>
    <mergeCell ref="E8:E9"/>
    <mergeCell ref="F8:F9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36"/>
  <sheetViews>
    <sheetView showGridLines="0" view="pageBreakPreview" topLeftCell="A10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4.7109375" style="289" customWidth="1"/>
    <col min="3" max="3" width="36" style="289" customWidth="1"/>
    <col min="4" max="4" width="5.42578125" style="295" customWidth="1"/>
    <col min="5" max="5" width="8.140625" style="289" bestFit="1" customWidth="1"/>
    <col min="6" max="6" width="8.5703125" style="289" customWidth="1"/>
    <col min="7" max="7" width="6.42578125" style="289" customWidth="1"/>
    <col min="8" max="8" width="4.7109375" style="289" bestFit="1" customWidth="1"/>
    <col min="9" max="9" width="3.28515625" style="289" customWidth="1"/>
    <col min="10" max="10" width="8.140625" style="153" bestFit="1" customWidth="1"/>
    <col min="11" max="11" width="4.8554687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20.25" customHeight="1" thickTop="1" thickBot="1">
      <c r="A5" s="107"/>
      <c r="B5" s="986" t="s">
        <v>338</v>
      </c>
      <c r="C5" s="987"/>
      <c r="D5" s="987"/>
      <c r="E5" s="987"/>
      <c r="F5" s="987"/>
      <c r="G5" s="987"/>
      <c r="H5" s="987"/>
      <c r="I5" s="987"/>
      <c r="J5" s="987"/>
      <c r="K5" s="988"/>
      <c r="L5" s="107"/>
      <c r="S5" s="107"/>
      <c r="V5" s="305" t="s">
        <v>2</v>
      </c>
    </row>
    <row r="6" spans="1:22" s="114" customFormat="1" ht="15" customHeight="1" thickTop="1">
      <c r="A6" s="110"/>
      <c r="B6" s="265" t="s">
        <v>133</v>
      </c>
      <c r="C6" s="434"/>
      <c r="D6" s="435" t="s">
        <v>134</v>
      </c>
      <c r="E6" s="435"/>
      <c r="F6" s="434" t="s">
        <v>135</v>
      </c>
      <c r="G6" s="435"/>
      <c r="H6" s="762"/>
      <c r="I6" s="762"/>
      <c r="J6" s="434" t="s">
        <v>136</v>
      </c>
      <c r="K6" s="763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305" t="s">
        <v>141</v>
      </c>
    </row>
    <row r="7" spans="1:22" s="114" customFormat="1" ht="15" customHeight="1">
      <c r="A7" s="110">
        <v>5</v>
      </c>
      <c r="B7" s="437">
        <v>1</v>
      </c>
      <c r="C7" s="188" t="str">
        <f>VLOOKUP(A7,'Costo Equipos'!$1:$1048576,2,0)</f>
        <v>Retroexcavadora Hyundai R210-7</v>
      </c>
      <c r="D7" s="438">
        <f>VLOOKUP(A7,'Costo Equipos'!$1:$1048576,4,0)</f>
        <v>150</v>
      </c>
      <c r="E7" s="439" t="s">
        <v>142</v>
      </c>
      <c r="F7" s="440">
        <f>VLOOKUP(A7,'Costo Equipos'!$1:$1048576,14,0)</f>
        <v>2181.8535000000002</v>
      </c>
      <c r="G7" s="441" t="str">
        <f>+G14</f>
        <v>$/d  =</v>
      </c>
      <c r="H7" s="122"/>
      <c r="I7" s="122"/>
      <c r="J7" s="442">
        <f>+F7*B7</f>
        <v>2181.8535000000002</v>
      </c>
      <c r="K7" s="452" t="s">
        <v>143</v>
      </c>
      <c r="L7" s="112"/>
      <c r="M7" s="113"/>
      <c r="N7" s="113"/>
      <c r="O7" s="113"/>
      <c r="P7" s="327"/>
      <c r="Q7" s="327"/>
      <c r="R7" s="327"/>
      <c r="S7" s="327"/>
      <c r="T7" s="119"/>
    </row>
    <row r="8" spans="1:22" s="114" customFormat="1" ht="15" customHeight="1">
      <c r="A8" s="110">
        <v>9</v>
      </c>
      <c r="B8" s="437">
        <v>1</v>
      </c>
      <c r="C8" s="188" t="str">
        <f>VLOOKUP(A8,'Costo Equipos'!$1:$1048576,2,0)</f>
        <v>Cargador frontal Hyundai, HL740-7 (2,1m³)</v>
      </c>
      <c r="D8" s="438">
        <f>VLOOKUP(A8,'Costo Equipos'!$1:$1048576,4,0)</f>
        <v>150</v>
      </c>
      <c r="E8" s="439" t="s">
        <v>142</v>
      </c>
      <c r="F8" s="440">
        <f>VLOOKUP(A8,'Costo Equipos'!$1:$1048576,14,0)</f>
        <v>2069.556</v>
      </c>
      <c r="G8" s="441" t="str">
        <f>+G15</f>
        <v>$/d  =</v>
      </c>
      <c r="H8" s="122"/>
      <c r="I8" s="122"/>
      <c r="J8" s="442">
        <f>+F8*B8</f>
        <v>2069.556</v>
      </c>
      <c r="K8" s="452" t="s">
        <v>143</v>
      </c>
      <c r="L8" s="112"/>
      <c r="M8" s="113"/>
      <c r="N8" s="113"/>
      <c r="O8" s="113"/>
      <c r="P8" s="327"/>
      <c r="Q8" s="327"/>
      <c r="R8" s="327"/>
      <c r="S8" s="327"/>
      <c r="T8" s="119"/>
    </row>
    <row r="9" spans="1:22" s="114" customFormat="1" ht="15" customHeight="1">
      <c r="A9" s="110">
        <v>92</v>
      </c>
      <c r="B9" s="437">
        <v>0.5</v>
      </c>
      <c r="C9" s="188" t="str">
        <f>VLOOKUP(A9,'Costo Equipos'!$1:$1048576,2,0)</f>
        <v>Camión tanque regador de agua</v>
      </c>
      <c r="D9" s="438">
        <f>VLOOKUP(A9,'Costo Equipos'!$1:$1048576,4,0)</f>
        <v>140</v>
      </c>
      <c r="E9" s="439" t="s">
        <v>142</v>
      </c>
      <c r="F9" s="440">
        <f>VLOOKUP(A9,'Costo Equipos'!$1:$1048576,14,0)</f>
        <v>1379.5165999999999</v>
      </c>
      <c r="G9" s="441" t="str">
        <f>+G15</f>
        <v>$/d  =</v>
      </c>
      <c r="H9" s="122"/>
      <c r="I9" s="122"/>
      <c r="J9" s="442">
        <f>+F9*B9</f>
        <v>689.75829999999996</v>
      </c>
      <c r="K9" s="452" t="s">
        <v>143</v>
      </c>
      <c r="L9" s="112"/>
      <c r="M9" s="113"/>
      <c r="N9" s="113"/>
      <c r="O9" s="113"/>
      <c r="P9" s="327"/>
      <c r="Q9" s="327"/>
      <c r="R9" s="327"/>
      <c r="S9" s="327"/>
      <c r="T9" s="119"/>
    </row>
    <row r="10" spans="1:22" s="114" customFormat="1" ht="15" customHeight="1">
      <c r="A10" s="110"/>
      <c r="B10" s="445"/>
      <c r="C10" s="446"/>
      <c r="D10" s="764">
        <f>SUMPRODUCT(B7:B9,D7:D9)</f>
        <v>370</v>
      </c>
      <c r="E10" s="765" t="s">
        <v>142</v>
      </c>
      <c r="F10" s="449"/>
      <c r="G10" s="443"/>
      <c r="H10" s="122"/>
      <c r="I10" s="122"/>
      <c r="J10" s="766">
        <f>+SUM(J7:J9)</f>
        <v>4941.1677999999993</v>
      </c>
      <c r="K10" s="767" t="s">
        <v>143</v>
      </c>
      <c r="L10" s="112"/>
      <c r="M10" s="113"/>
      <c r="N10" s="113"/>
      <c r="O10" s="113"/>
      <c r="P10" s="124">
        <f>SUM(P7:P9)</f>
        <v>0</v>
      </c>
      <c r="Q10" s="125">
        <f>SUM(Q7:Q9)</f>
        <v>0</v>
      </c>
      <c r="R10" s="125">
        <f>SUM(R7:R9)</f>
        <v>0</v>
      </c>
      <c r="S10" s="126">
        <f>SUM(S7:S9)</f>
        <v>0</v>
      </c>
      <c r="T10" s="119" t="e">
        <f>+#REF!+#REF!+#REF!+#REF!</f>
        <v>#REF!</v>
      </c>
    </row>
    <row r="11" spans="1:22" s="114" customFormat="1" ht="15" customHeight="1">
      <c r="A11" s="110"/>
      <c r="B11" s="445"/>
      <c r="C11" s="290"/>
      <c r="D11" s="439"/>
      <c r="E11" s="439"/>
      <c r="F11" s="440"/>
      <c r="G11" s="439"/>
      <c r="H11" s="122"/>
      <c r="I11" s="122"/>
      <c r="J11" s="440"/>
      <c r="K11" s="768"/>
      <c r="L11" s="112"/>
      <c r="N11" s="113"/>
      <c r="O11" s="113"/>
      <c r="P11" s="119"/>
      <c r="S11" s="110"/>
      <c r="T11" s="296" t="e">
        <f>SUM(T7:T10)</f>
        <v>#REF!</v>
      </c>
    </row>
    <row r="12" spans="1:22" s="114" customFormat="1" ht="15" customHeight="1">
      <c r="A12" s="110"/>
      <c r="B12" s="291" t="s">
        <v>145</v>
      </c>
      <c r="C12" s="454"/>
      <c r="D12" s="455"/>
      <c r="E12" s="455"/>
      <c r="F12" s="456" t="s">
        <v>135</v>
      </c>
      <c r="G12" s="455"/>
      <c r="H12" s="122"/>
      <c r="I12" s="122"/>
      <c r="J12" s="456" t="s">
        <v>136</v>
      </c>
      <c r="K12" s="769"/>
      <c r="L12" s="112"/>
      <c r="O12" s="113"/>
      <c r="P12" s="119"/>
      <c r="S12" s="110"/>
    </row>
    <row r="13" spans="1:22" s="114" customFormat="1" ht="15" customHeight="1">
      <c r="A13" s="110">
        <v>5</v>
      </c>
      <c r="B13" s="458">
        <v>2</v>
      </c>
      <c r="C13" s="188" t="str">
        <f>IF(A13=1,"Oficial Especializado",IF(A13=2,"Oficial",IF(A13=3,"Medio oficial",IF(A13=4,"Ayudante",IF(A13=5,"Maquinista",0)))))</f>
        <v>Maquinista</v>
      </c>
      <c r="D13" s="459"/>
      <c r="E13" s="439"/>
      <c r="F13" s="440">
        <f>+'Mano de Obra'!J47</f>
        <v>397.36</v>
      </c>
      <c r="G13" s="441" t="s">
        <v>146</v>
      </c>
      <c r="H13" s="122"/>
      <c r="I13" s="122"/>
      <c r="J13" s="440">
        <f>F13*B13</f>
        <v>794.72</v>
      </c>
      <c r="K13" s="452" t="s">
        <v>143</v>
      </c>
      <c r="L13" s="112"/>
      <c r="O13" s="113"/>
      <c r="S13" s="110"/>
    </row>
    <row r="14" spans="1:22" s="114" customFormat="1" ht="15" customHeight="1">
      <c r="A14" s="110">
        <v>2</v>
      </c>
      <c r="B14" s="458">
        <v>1</v>
      </c>
      <c r="C14" s="188" t="str">
        <f t="shared" ref="C14:C15" si="0">IF(A14=1,"Oficial Especializado",IF(A14=2,"Oficial",IF(A14=3,"Medio oficial",IF(A14=4,"Ayudante",IF(A14=5,"Maquinista",0)))))</f>
        <v>Oficial</v>
      </c>
      <c r="D14" s="459"/>
      <c r="E14" s="439"/>
      <c r="F14" s="440">
        <f>+'Mano de Obra'!G47</f>
        <v>338.59</v>
      </c>
      <c r="G14" s="441" t="s">
        <v>146</v>
      </c>
      <c r="H14" s="122"/>
      <c r="I14" s="122"/>
      <c r="J14" s="440">
        <f>F14*B14</f>
        <v>338.59</v>
      </c>
      <c r="K14" s="452" t="s">
        <v>143</v>
      </c>
      <c r="L14" s="112"/>
      <c r="O14" s="113"/>
      <c r="P14" s="983" t="s">
        <v>147</v>
      </c>
      <c r="Q14" s="983"/>
      <c r="R14" s="983"/>
      <c r="S14" s="130">
        <f>+SUM(P10:R10)*D29/D19</f>
        <v>0</v>
      </c>
    </row>
    <row r="15" spans="1:22" s="114" customFormat="1" ht="15" customHeight="1">
      <c r="A15" s="110">
        <v>4</v>
      </c>
      <c r="B15" s="458">
        <v>4</v>
      </c>
      <c r="C15" s="188" t="str">
        <f t="shared" si="0"/>
        <v>Ayudante</v>
      </c>
      <c r="D15" s="459" t="s">
        <v>4</v>
      </c>
      <c r="E15" s="439"/>
      <c r="F15" s="440">
        <f>+'Mano de Obra'!I47</f>
        <v>286.54000000000002</v>
      </c>
      <c r="G15" s="441" t="s">
        <v>146</v>
      </c>
      <c r="H15" s="122"/>
      <c r="I15" s="122"/>
      <c r="J15" s="461">
        <f>F15*B15</f>
        <v>1146.1600000000001</v>
      </c>
      <c r="K15" s="770" t="s">
        <v>143</v>
      </c>
      <c r="L15" s="112"/>
      <c r="M15" s="297"/>
      <c r="N15" s="297"/>
      <c r="O15" s="113"/>
      <c r="P15" s="983"/>
      <c r="Q15" s="983"/>
      <c r="R15" s="983"/>
      <c r="S15" s="132"/>
    </row>
    <row r="16" spans="1:22" s="114" customFormat="1" ht="15" customHeight="1">
      <c r="A16" s="110"/>
      <c r="B16" s="445"/>
      <c r="C16" s="463"/>
      <c r="D16" s="439"/>
      <c r="E16" s="439"/>
      <c r="F16" s="440"/>
      <c r="G16" s="439"/>
      <c r="H16" s="122"/>
      <c r="I16" s="122"/>
      <c r="J16" s="771">
        <f>SUM(J13:J15)</f>
        <v>2279.4700000000003</v>
      </c>
      <c r="K16" s="772" t="s">
        <v>143</v>
      </c>
      <c r="L16" s="112"/>
      <c r="M16" s="298"/>
      <c r="N16" s="297"/>
      <c r="O16" s="113"/>
      <c r="P16" s="984" t="s">
        <v>0</v>
      </c>
      <c r="Q16" s="984"/>
      <c r="R16" s="984"/>
      <c r="S16" s="135">
        <f>+S10*D29/D19</f>
        <v>0</v>
      </c>
    </row>
    <row r="17" spans="1:19" s="114" customFormat="1" ht="15" customHeight="1">
      <c r="A17" s="110"/>
      <c r="B17" s="445"/>
      <c r="C17" s="463"/>
      <c r="D17" s="439"/>
      <c r="E17" s="439"/>
      <c r="F17" s="440"/>
      <c r="G17" s="439"/>
      <c r="H17" s="440"/>
      <c r="I17" s="439"/>
      <c r="J17" s="440"/>
      <c r="K17" s="453"/>
      <c r="L17" s="112"/>
      <c r="M17" s="298"/>
      <c r="N17" s="297"/>
      <c r="O17" s="113"/>
      <c r="P17" s="326"/>
      <c r="Q17" s="326"/>
      <c r="R17" s="326"/>
      <c r="S17" s="135"/>
    </row>
    <row r="18" spans="1:19" s="114" customFormat="1" ht="15" customHeight="1">
      <c r="A18" s="110"/>
      <c r="B18" s="292" t="s">
        <v>148</v>
      </c>
      <c r="C18" s="454"/>
      <c r="D18" s="215" t="s">
        <v>149</v>
      </c>
      <c r="E18" s="455"/>
      <c r="F18" s="466"/>
      <c r="G18" s="455"/>
      <c r="H18" s="466"/>
      <c r="I18" s="455"/>
      <c r="J18" s="440">
        <f>J16+J10</f>
        <v>7220.6377999999995</v>
      </c>
      <c r="K18" s="452" t="s">
        <v>143</v>
      </c>
      <c r="L18" s="112"/>
      <c r="M18" s="113"/>
      <c r="N18" s="113"/>
      <c r="O18" s="113"/>
      <c r="P18" s="984" t="s">
        <v>1</v>
      </c>
      <c r="Q18" s="984"/>
      <c r="R18" s="984"/>
      <c r="S18" s="135">
        <f>+J16*D29/D19</f>
        <v>12.628263800000001</v>
      </c>
    </row>
    <row r="19" spans="1:19" s="114" customFormat="1" ht="15" customHeight="1">
      <c r="A19" s="110"/>
      <c r="B19" s="292" t="s">
        <v>150</v>
      </c>
      <c r="C19" s="467"/>
      <c r="D19" s="438">
        <v>300</v>
      </c>
      <c r="E19" s="468" t="s">
        <v>163</v>
      </c>
      <c r="F19" s="466"/>
      <c r="G19" s="455"/>
      <c r="H19" s="466"/>
      <c r="I19" s="455"/>
      <c r="J19" s="440"/>
      <c r="K19" s="457"/>
      <c r="L19" s="112"/>
      <c r="M19" s="113"/>
      <c r="N19" s="113"/>
      <c r="O19" s="138"/>
      <c r="P19" s="984" t="s">
        <v>152</v>
      </c>
      <c r="Q19" s="984"/>
      <c r="R19" s="984"/>
      <c r="S19" s="135"/>
    </row>
    <row r="20" spans="1:19" s="114" customFormat="1" ht="15">
      <c r="A20" s="110"/>
      <c r="B20" s="292" t="s">
        <v>173</v>
      </c>
      <c r="C20" s="454"/>
      <c r="D20" s="459"/>
      <c r="E20" s="469">
        <f>J18</f>
        <v>7220.6377999999995</v>
      </c>
      <c r="F20" s="439" t="s">
        <v>154</v>
      </c>
      <c r="G20" s="439">
        <f>D19</f>
        <v>300</v>
      </c>
      <c r="H20" s="468" t="str">
        <f>E19</f>
        <v>m³/d</v>
      </c>
      <c r="I20" s="439" t="s">
        <v>155</v>
      </c>
      <c r="J20" s="469">
        <f>E20/G20</f>
        <v>24.068792666666663</v>
      </c>
      <c r="K20" s="453" t="s">
        <v>91</v>
      </c>
      <c r="L20" s="112"/>
      <c r="M20" s="113"/>
      <c r="N20" s="113"/>
      <c r="O20" s="113"/>
      <c r="S20" s="135">
        <f>+S18+S16+S14</f>
        <v>12.628263800000001</v>
      </c>
    </row>
    <row r="21" spans="1:19" s="114" customFormat="1" ht="15">
      <c r="A21" s="110"/>
      <c r="B21" s="292"/>
      <c r="C21" s="454"/>
      <c r="D21" s="459"/>
      <c r="E21" s="469"/>
      <c r="F21" s="439"/>
      <c r="G21" s="439"/>
      <c r="H21" s="468"/>
      <c r="I21" s="439"/>
      <c r="J21" s="440"/>
      <c r="K21" s="453"/>
      <c r="L21" s="112"/>
      <c r="M21" s="113"/>
      <c r="N21" s="113"/>
      <c r="O21" s="113"/>
      <c r="S21" s="378"/>
    </row>
    <row r="22" spans="1:19" s="114" customFormat="1" ht="15" customHeight="1">
      <c r="A22" s="110"/>
      <c r="B22" s="291" t="s">
        <v>165</v>
      </c>
      <c r="C22" s="454"/>
      <c r="D22" s="439"/>
      <c r="E22" s="439"/>
      <c r="F22" s="440"/>
      <c r="G22" s="439"/>
      <c r="H22" s="440"/>
      <c r="I22" s="439"/>
      <c r="J22" s="440"/>
      <c r="K22" s="453"/>
      <c r="L22" s="112"/>
      <c r="M22" s="298"/>
      <c r="N22" s="297"/>
      <c r="O22" s="113"/>
      <c r="P22" s="695"/>
      <c r="Q22" s="695"/>
      <c r="R22" s="695"/>
      <c r="S22" s="378"/>
    </row>
    <row r="23" spans="1:19" s="114" customFormat="1" ht="15" customHeight="1">
      <c r="A23" s="110"/>
      <c r="B23" s="208" t="s">
        <v>166</v>
      </c>
      <c r="C23" s="188"/>
      <c r="D23" s="459" t="s">
        <v>167</v>
      </c>
      <c r="E23" s="469"/>
      <c r="F23" s="439" t="s">
        <v>135</v>
      </c>
      <c r="G23" s="122"/>
      <c r="H23" s="468"/>
      <c r="I23" s="439"/>
      <c r="J23" s="440" t="s">
        <v>168</v>
      </c>
      <c r="K23" s="453"/>
      <c r="L23" s="112"/>
      <c r="M23" s="298"/>
      <c r="N23" s="297"/>
      <c r="O23" s="113"/>
      <c r="P23" s="695"/>
      <c r="Q23" s="695"/>
      <c r="R23" s="695"/>
      <c r="S23" s="378"/>
    </row>
    <row r="24" spans="1:19" s="114" customFormat="1" ht="15" customHeight="1">
      <c r="A24" s="110"/>
      <c r="B24" s="481" t="s">
        <v>325</v>
      </c>
      <c r="C24" s="482"/>
      <c r="D24" s="486">
        <v>1.05</v>
      </c>
      <c r="E24" s="478" t="s">
        <v>188</v>
      </c>
      <c r="F24" s="486">
        <f>+'AUX Suelo'!J27</f>
        <v>27.83</v>
      </c>
      <c r="G24" s="488" t="s">
        <v>326</v>
      </c>
      <c r="H24" s="122"/>
      <c r="I24" s="478"/>
      <c r="J24" s="487">
        <f>+F24*D24</f>
        <v>29.221499999999999</v>
      </c>
      <c r="K24" s="489" t="s">
        <v>91</v>
      </c>
      <c r="L24" s="112"/>
      <c r="M24" s="298"/>
      <c r="N24" s="297"/>
      <c r="O24" s="113"/>
      <c r="P24" s="695"/>
      <c r="Q24" s="695"/>
      <c r="R24" s="695"/>
      <c r="S24" s="378"/>
    </row>
    <row r="25" spans="1:19" s="114" customFormat="1" ht="15">
      <c r="A25" s="110"/>
      <c r="B25" s="292"/>
      <c r="C25" s="454"/>
      <c r="D25" s="459"/>
      <c r="E25" s="469"/>
      <c r="F25" s="439"/>
      <c r="G25" s="439"/>
      <c r="H25" s="468"/>
      <c r="I25" s="439"/>
      <c r="J25" s="440"/>
      <c r="K25" s="453"/>
      <c r="L25" s="112"/>
      <c r="M25" s="113"/>
      <c r="N25" s="113"/>
      <c r="O25" s="113"/>
      <c r="S25" s="161"/>
    </row>
    <row r="26" spans="1:19" s="114" customFormat="1" ht="15">
      <c r="A26" s="110"/>
      <c r="B26" s="292"/>
      <c r="C26" s="454"/>
      <c r="D26" s="459"/>
      <c r="E26" s="469"/>
      <c r="F26" s="439"/>
      <c r="G26" s="439"/>
      <c r="H26" s="468"/>
      <c r="I26" s="439"/>
      <c r="J26" s="440"/>
      <c r="K26" s="453"/>
      <c r="L26" s="112"/>
      <c r="M26" s="113"/>
      <c r="N26" s="113"/>
      <c r="O26" s="113"/>
      <c r="S26" s="161"/>
    </row>
    <row r="27" spans="1:19" s="114" customFormat="1" ht="15">
      <c r="A27" s="110"/>
      <c r="B27" s="292" t="s">
        <v>157</v>
      </c>
      <c r="C27" s="696"/>
      <c r="D27" s="459" t="s">
        <v>327</v>
      </c>
      <c r="E27" s="469"/>
      <c r="F27" s="439"/>
      <c r="G27" s="439"/>
      <c r="H27" s="439"/>
      <c r="I27" s="439"/>
      <c r="J27" s="270">
        <f>+J20+J24</f>
        <v>53.290292666666659</v>
      </c>
      <c r="K27" s="373" t="s">
        <v>91</v>
      </c>
      <c r="P27" s="139"/>
      <c r="S27" s="110"/>
    </row>
    <row r="28" spans="1:19" s="114" customFormat="1" ht="15">
      <c r="A28" s="110"/>
      <c r="B28" s="292"/>
      <c r="C28" s="454"/>
      <c r="D28" s="459"/>
      <c r="E28" s="469"/>
      <c r="F28" s="439"/>
      <c r="G28" s="439"/>
      <c r="H28" s="439"/>
      <c r="I28" s="439"/>
      <c r="J28" s="440"/>
      <c r="K28" s="453"/>
      <c r="L28" s="112"/>
      <c r="M28" s="113"/>
      <c r="N28" s="113"/>
      <c r="O28" s="113"/>
      <c r="P28" s="139"/>
      <c r="S28" s="140"/>
    </row>
    <row r="29" spans="1:19" s="114" customFormat="1" ht="15.75" thickBot="1">
      <c r="A29" s="110"/>
      <c r="B29" s="470" t="s">
        <v>158</v>
      </c>
      <c r="C29" s="266"/>
      <c r="D29" s="811">
        <f>+'Coeficiente Resumen'!D19</f>
        <v>1.6619999999999999</v>
      </c>
      <c r="E29" s="471" t="s">
        <v>159</v>
      </c>
      <c r="F29" s="471">
        <f>J27</f>
        <v>53.290292666666659</v>
      </c>
      <c r="G29" s="471" t="str">
        <f>K20</f>
        <v>$/m³</v>
      </c>
      <c r="H29" s="773"/>
      <c r="I29" s="471" t="s">
        <v>155</v>
      </c>
      <c r="J29" s="271">
        <f>+D29*F29</f>
        <v>88.568466411999978</v>
      </c>
      <c r="K29" s="374" t="str">
        <f>K20</f>
        <v>$/m³</v>
      </c>
      <c r="L29" s="299"/>
      <c r="M29" s="293"/>
      <c r="N29" s="113"/>
      <c r="O29" s="113"/>
      <c r="P29" s="303"/>
      <c r="S29" s="110"/>
    </row>
    <row r="30" spans="1:19" s="122" customFormat="1" ht="17.25" thickTop="1" thickBot="1">
      <c r="A30" s="129"/>
      <c r="B30" s="989" t="s">
        <v>160</v>
      </c>
      <c r="C30" s="989"/>
      <c r="D30" s="990">
        <f>ROUND(J29,2)</f>
        <v>88.57</v>
      </c>
      <c r="E30" s="990"/>
      <c r="F30" s="992" t="str">
        <f>+K29</f>
        <v>$/m³</v>
      </c>
      <c r="G30" s="992"/>
      <c r="H30" s="992"/>
      <c r="I30" s="267"/>
      <c r="J30" s="268"/>
      <c r="K30" s="269"/>
      <c r="L30" s="300"/>
      <c r="M30" s="301"/>
      <c r="N30" s="128"/>
      <c r="O30" s="128"/>
      <c r="P30" s="149"/>
      <c r="S30" s="129"/>
    </row>
    <row r="31" spans="1:19" ht="15.75" thickTop="1">
      <c r="C31" s="152"/>
      <c r="D31" s="123"/>
      <c r="E31" s="123"/>
      <c r="F31" s="121"/>
      <c r="G31" s="123"/>
    </row>
    <row r="32" spans="1:19">
      <c r="C32" s="155"/>
      <c r="P32" s="302"/>
    </row>
    <row r="33" spans="3:16">
      <c r="C33" s="294"/>
      <c r="D33" s="985"/>
      <c r="E33" s="985"/>
      <c r="F33" s="158"/>
    </row>
    <row r="34" spans="3:16">
      <c r="C34" s="294"/>
      <c r="D34" s="985"/>
      <c r="E34" s="985"/>
      <c r="P34" s="302"/>
    </row>
    <row r="35" spans="3:16">
      <c r="C35" s="294"/>
      <c r="D35" s="985"/>
      <c r="E35" s="985"/>
    </row>
    <row r="36" spans="3:16">
      <c r="C36" s="294"/>
      <c r="D36" s="985"/>
      <c r="E36" s="985"/>
    </row>
  </sheetData>
  <mergeCells count="13">
    <mergeCell ref="D35:E35"/>
    <mergeCell ref="D36:E36"/>
    <mergeCell ref="B5:K5"/>
    <mergeCell ref="B30:C30"/>
    <mergeCell ref="D30:E30"/>
    <mergeCell ref="F30:H30"/>
    <mergeCell ref="D33:E33"/>
    <mergeCell ref="D34:E34"/>
    <mergeCell ref="B2:K2"/>
    <mergeCell ref="P14:R15"/>
    <mergeCell ref="P16:R16"/>
    <mergeCell ref="P18:R18"/>
    <mergeCell ref="P19:R19"/>
  </mergeCells>
  <hyperlinks>
    <hyperlink ref="V5" location="'Pres-gav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M41"/>
  <sheetViews>
    <sheetView showGridLines="0" view="pageBreakPreview" topLeftCell="A7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3.5703125" style="289" customWidth="1"/>
    <col min="3" max="3" width="27.42578125" style="289" customWidth="1"/>
    <col min="4" max="4" width="7" style="295" customWidth="1"/>
    <col min="5" max="5" width="7.85546875" style="289" customWidth="1"/>
    <col min="6" max="6" width="8" style="289" customWidth="1"/>
    <col min="7" max="7" width="8.140625" style="289" customWidth="1"/>
    <col min="8" max="8" width="8.28515625" style="289" customWidth="1"/>
    <col min="9" max="9" width="3.28515625" style="289" customWidth="1"/>
    <col min="10" max="10" width="9.85546875" style="153" customWidth="1"/>
    <col min="11" max="11" width="6.28515625" style="154" customWidth="1"/>
    <col min="12" max="16384" width="11" style="289"/>
  </cols>
  <sheetData>
    <row r="1" spans="1:13" s="264" customFormat="1">
      <c r="B1" s="5"/>
      <c r="C1" s="5"/>
      <c r="G1" s="704"/>
      <c r="H1" s="8"/>
      <c r="I1" s="8"/>
    </row>
    <row r="2" spans="1:13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13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13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13" s="108" customFormat="1" ht="19.5" thickTop="1" thickBot="1">
      <c r="A5" s="107"/>
      <c r="B5" s="986" t="s">
        <v>368</v>
      </c>
      <c r="C5" s="987"/>
      <c r="D5" s="987"/>
      <c r="E5" s="987"/>
      <c r="F5" s="987"/>
      <c r="G5" s="987"/>
      <c r="H5" s="987"/>
      <c r="I5" s="987"/>
      <c r="J5" s="987"/>
      <c r="K5" s="988"/>
      <c r="M5" s="305" t="s">
        <v>2</v>
      </c>
    </row>
    <row r="6" spans="1:13" s="114" customFormat="1" ht="15.75" thickTop="1">
      <c r="A6" s="110"/>
      <c r="B6" s="265" t="s">
        <v>133</v>
      </c>
      <c r="C6" s="434"/>
      <c r="D6" s="435" t="s">
        <v>134</v>
      </c>
      <c r="E6" s="435"/>
      <c r="F6" s="434" t="s">
        <v>135</v>
      </c>
      <c r="G6" s="435"/>
      <c r="H6" s="434" t="s">
        <v>136</v>
      </c>
      <c r="I6" s="435"/>
      <c r="J6" s="434"/>
      <c r="K6" s="436"/>
      <c r="M6" s="305" t="s">
        <v>141</v>
      </c>
    </row>
    <row r="7" spans="1:13" s="114" customFormat="1" ht="15">
      <c r="A7" s="110">
        <v>74</v>
      </c>
      <c r="B7" s="437">
        <v>1</v>
      </c>
      <c r="C7" s="188" t="str">
        <f>VLOOKUP(A7,'Costo Equipos'!$1:$1048576,2,0)</f>
        <v>Cargador frontal CASE</v>
      </c>
      <c r="D7" s="438">
        <f>VLOOKUP(A7,'Costo Equipos'!$1:$1048576,4,0)</f>
        <v>80</v>
      </c>
      <c r="E7" s="439" t="s">
        <v>142</v>
      </c>
      <c r="F7" s="440">
        <f>VLOOKUP(A7,'Costo Equipos'!$1:$1048576,14,0)</f>
        <v>1033.7622941176473</v>
      </c>
      <c r="G7" s="441" t="str">
        <f>+$G$14</f>
        <v>$/d  =</v>
      </c>
      <c r="H7" s="442">
        <f>+F7*B7</f>
        <v>1033.7622941176473</v>
      </c>
      <c r="I7" s="441" t="s">
        <v>143</v>
      </c>
      <c r="J7" s="443"/>
      <c r="K7" s="444"/>
    </row>
    <row r="8" spans="1:13" s="114" customFormat="1" ht="15">
      <c r="A8" s="110">
        <v>67</v>
      </c>
      <c r="B8" s="437">
        <v>1</v>
      </c>
      <c r="C8" s="188" t="str">
        <f>VLOOKUP(A8,'Costo Equipos'!$1:$1048576,2,0)</f>
        <v>Grúa</v>
      </c>
      <c r="D8" s="438">
        <f>VLOOKUP(A8,'Costo Equipos'!$1:$1048576,4,0)</f>
        <v>127</v>
      </c>
      <c r="E8" s="439" t="s">
        <v>142</v>
      </c>
      <c r="F8" s="440">
        <f>VLOOKUP(A8,'Costo Equipos'!$1:$1048576,14,0)</f>
        <v>2391.52288</v>
      </c>
      <c r="G8" s="441" t="str">
        <f t="shared" ref="G8:G10" si="0">+$G$14</f>
        <v>$/d  =</v>
      </c>
      <c r="H8" s="442">
        <f t="shared" ref="H8:H9" si="1">+F8*B8</f>
        <v>2391.52288</v>
      </c>
      <c r="I8" s="441" t="s">
        <v>143</v>
      </c>
      <c r="J8" s="443"/>
      <c r="K8" s="444"/>
    </row>
    <row r="9" spans="1:13" s="114" customFormat="1" ht="15">
      <c r="A9" s="110">
        <v>44</v>
      </c>
      <c r="B9" s="437">
        <v>2</v>
      </c>
      <c r="C9" s="188" t="str">
        <f>VLOOKUP(A9,'Costo Equipos'!$1:$1048576,2,0)</f>
        <v>Herramientas menores</v>
      </c>
      <c r="D9" s="438">
        <f>VLOOKUP(A9,'Costo Equipos'!$1:$1048576,4,0)</f>
        <v>0</v>
      </c>
      <c r="E9" s="439" t="s">
        <v>142</v>
      </c>
      <c r="F9" s="440">
        <f>VLOOKUP(A9,'Costo Equipos'!$1:$1048576,14,0)</f>
        <v>24.633000000000003</v>
      </c>
      <c r="G9" s="441" t="str">
        <f t="shared" si="0"/>
        <v>$/d  =</v>
      </c>
      <c r="H9" s="442">
        <f t="shared" si="1"/>
        <v>49.266000000000005</v>
      </c>
      <c r="I9" s="441" t="s">
        <v>143</v>
      </c>
      <c r="J9" s="443"/>
      <c r="K9" s="444"/>
    </row>
    <row r="10" spans="1:13" s="114" customFormat="1" ht="15">
      <c r="A10" s="110">
        <v>59</v>
      </c>
      <c r="B10" s="437">
        <v>1</v>
      </c>
      <c r="C10" s="188" t="str">
        <f>VLOOKUP(A10,'Costo Equipos'!$1:$1048576,2,0)</f>
        <v>Depósito de agua</v>
      </c>
      <c r="D10" s="438">
        <f>VLOOKUP(A10,'Costo Equipos'!$1:$1048576,4,0)</f>
        <v>0</v>
      </c>
      <c r="E10" s="439" t="s">
        <v>142</v>
      </c>
      <c r="F10" s="440">
        <f>VLOOKUP(A10,'Costo Equipos'!$1:$1048576,14,0)</f>
        <v>12.316500000000001</v>
      </c>
      <c r="G10" s="441" t="str">
        <f t="shared" si="0"/>
        <v>$/d  =</v>
      </c>
      <c r="H10" s="442">
        <f t="shared" ref="H10" si="2">+F10*B10</f>
        <v>12.316500000000001</v>
      </c>
      <c r="I10" s="441" t="s">
        <v>143</v>
      </c>
      <c r="J10" s="443"/>
      <c r="K10" s="444"/>
    </row>
    <row r="11" spans="1:13" s="114" customFormat="1" ht="15">
      <c r="A11" s="110"/>
      <c r="B11" s="445"/>
      <c r="C11" s="446"/>
      <c r="D11" s="447">
        <f>SUMPRODUCT(B7:B10,D7:D10)</f>
        <v>207</v>
      </c>
      <c r="E11" s="448" t="s">
        <v>142</v>
      </c>
      <c r="F11" s="449"/>
      <c r="G11" s="443"/>
      <c r="H11" s="450">
        <f>+SUM(H7:H10)</f>
        <v>3486.8676741176473</v>
      </c>
      <c r="I11" s="451" t="s">
        <v>143</v>
      </c>
      <c r="J11" s="440"/>
      <c r="K11" s="452"/>
    </row>
    <row r="12" spans="1:13" s="114" customFormat="1" ht="15">
      <c r="A12" s="110"/>
      <c r="B12" s="445"/>
      <c r="C12" s="290"/>
      <c r="D12" s="439"/>
      <c r="E12" s="439"/>
      <c r="F12" s="440"/>
      <c r="G12" s="439"/>
      <c r="H12" s="440"/>
      <c r="I12" s="439"/>
      <c r="J12" s="440"/>
      <c r="K12" s="453"/>
    </row>
    <row r="13" spans="1:13" s="114" customFormat="1" ht="15">
      <c r="A13" s="110"/>
      <c r="B13" s="291" t="s">
        <v>145</v>
      </c>
      <c r="C13" s="454"/>
      <c r="D13" s="455"/>
      <c r="E13" s="455"/>
      <c r="F13" s="456" t="s">
        <v>135</v>
      </c>
      <c r="G13" s="455"/>
      <c r="H13" s="456" t="s">
        <v>136</v>
      </c>
      <c r="I13" s="455"/>
      <c r="J13" s="440"/>
      <c r="K13" s="457"/>
    </row>
    <row r="14" spans="1:13" s="114" customFormat="1" ht="15">
      <c r="A14" s="110">
        <v>5</v>
      </c>
      <c r="B14" s="458">
        <v>1</v>
      </c>
      <c r="C14" s="188" t="str">
        <f>IF(A14=1,"Oficial Especializado",IF(A14=2,"Oficial",IF(A14=3,"Medio oficial",IF(A14=4,"Ayudante",IF(A14=5,"Maquinista",0)))))</f>
        <v>Maquinista</v>
      </c>
      <c r="D14" s="459"/>
      <c r="E14" s="439"/>
      <c r="F14" s="440">
        <f>+'Mano de Obra'!J47</f>
        <v>397.36</v>
      </c>
      <c r="G14" s="441" t="s">
        <v>146</v>
      </c>
      <c r="H14" s="440">
        <f>F14*B14</f>
        <v>397.36</v>
      </c>
      <c r="I14" s="441" t="s">
        <v>143</v>
      </c>
      <c r="J14" s="440"/>
      <c r="K14" s="460"/>
    </row>
    <row r="15" spans="1:13" s="114" customFormat="1" ht="15">
      <c r="A15" s="110">
        <v>2</v>
      </c>
      <c r="B15" s="458">
        <v>1</v>
      </c>
      <c r="C15" s="188" t="str">
        <f>IF(A15=1,"Oficial Especializado",IF(A15=2,"Oficial",IF(A15=3,"Medio oficial",IF(A15=4,"Ayudante",IF(A15=5,"Maquinista",0)))))</f>
        <v>Oficial</v>
      </c>
      <c r="D15" s="459"/>
      <c r="E15" s="439"/>
      <c r="F15" s="440">
        <f>+'Mano de Obra'!G47</f>
        <v>338.59</v>
      </c>
      <c r="G15" s="441" t="s">
        <v>146</v>
      </c>
      <c r="H15" s="440">
        <f>F15*B15</f>
        <v>338.59</v>
      </c>
      <c r="I15" s="441" t="s">
        <v>143</v>
      </c>
      <c r="J15" s="440"/>
      <c r="K15" s="460"/>
    </row>
    <row r="16" spans="1:13" s="114" customFormat="1" ht="15" customHeight="1">
      <c r="A16" s="110">
        <v>4</v>
      </c>
      <c r="B16" s="458">
        <v>12</v>
      </c>
      <c r="C16" s="188" t="str">
        <f t="shared" ref="C16" si="3">IF(A16=1,"Oficial Especializado",IF(A16=2,"Oficial",IF(A16=3,"Medio oficial",IF(A16=4,"Ayudante",IF(A16=5,"Maquinista",0)))))</f>
        <v>Ayudante</v>
      </c>
      <c r="D16" s="459"/>
      <c r="E16" s="439"/>
      <c r="F16" s="440">
        <f>+'Mano de Obra'!I47</f>
        <v>286.54000000000002</v>
      </c>
      <c r="G16" s="441" t="s">
        <v>146</v>
      </c>
      <c r="H16" s="440">
        <f>F16*B16</f>
        <v>3438.4800000000005</v>
      </c>
      <c r="I16" s="441" t="s">
        <v>143</v>
      </c>
      <c r="J16" s="440"/>
      <c r="K16" s="460"/>
    </row>
    <row r="17" spans="1:11" s="114" customFormat="1" ht="15" customHeight="1">
      <c r="A17" s="110"/>
      <c r="B17" s="445"/>
      <c r="C17" s="463"/>
      <c r="D17" s="439"/>
      <c r="E17" s="439"/>
      <c r="F17" s="440"/>
      <c r="G17" s="439"/>
      <c r="H17" s="464">
        <f>SUM(H14:H16)</f>
        <v>4174.43</v>
      </c>
      <c r="I17" s="465" t="s">
        <v>143</v>
      </c>
      <c r="J17" s="440"/>
      <c r="K17" s="453"/>
    </row>
    <row r="18" spans="1:11" s="114" customFormat="1" ht="15">
      <c r="A18" s="110"/>
      <c r="B18" s="445"/>
      <c r="C18" s="463"/>
      <c r="D18" s="439"/>
      <c r="E18" s="439"/>
      <c r="F18" s="440"/>
      <c r="G18" s="439"/>
      <c r="H18" s="440"/>
      <c r="I18" s="439"/>
      <c r="J18" s="440"/>
      <c r="K18" s="453"/>
    </row>
    <row r="19" spans="1:11" s="114" customFormat="1" ht="15" customHeight="1">
      <c r="A19" s="110"/>
      <c r="B19" s="292" t="s">
        <v>148</v>
      </c>
      <c r="C19" s="454"/>
      <c r="D19" s="215" t="s">
        <v>149</v>
      </c>
      <c r="E19" s="455"/>
      <c r="F19" s="466"/>
      <c r="G19" s="455"/>
      <c r="H19" s="466"/>
      <c r="I19" s="455"/>
      <c r="J19" s="440">
        <f>H17+H11</f>
        <v>7661.2976741176481</v>
      </c>
      <c r="K19" s="452" t="s">
        <v>143</v>
      </c>
    </row>
    <row r="20" spans="1:11" s="114" customFormat="1" ht="15" customHeight="1">
      <c r="A20" s="110"/>
      <c r="B20" s="292" t="s">
        <v>150</v>
      </c>
      <c r="C20" s="467"/>
      <c r="D20" s="438">
        <v>80</v>
      </c>
      <c r="E20" s="468" t="s">
        <v>163</v>
      </c>
      <c r="F20" s="466"/>
      <c r="G20" s="455"/>
      <c r="H20" s="466"/>
      <c r="I20" s="455"/>
      <c r="J20" s="440"/>
      <c r="K20" s="457"/>
    </row>
    <row r="21" spans="1:11" s="114" customFormat="1" ht="15">
      <c r="A21" s="110"/>
      <c r="B21" s="292" t="s">
        <v>178</v>
      </c>
      <c r="C21" s="454"/>
      <c r="D21" s="459"/>
      <c r="E21" s="469">
        <f>J19</f>
        <v>7661.2976741176481</v>
      </c>
      <c r="F21" s="439" t="s">
        <v>154</v>
      </c>
      <c r="G21" s="438">
        <f>D20</f>
        <v>80</v>
      </c>
      <c r="H21" s="468" t="str">
        <f>E20</f>
        <v>m³/d</v>
      </c>
      <c r="I21" s="439" t="s">
        <v>155</v>
      </c>
      <c r="J21" s="440">
        <f>E21/G21</f>
        <v>95.766220926470595</v>
      </c>
      <c r="K21" s="453" t="s">
        <v>91</v>
      </c>
    </row>
    <row r="22" spans="1:11" s="114" customFormat="1" ht="15">
      <c r="A22" s="110"/>
      <c r="B22" s="292"/>
      <c r="C22" s="454"/>
      <c r="D22" s="459"/>
      <c r="E22" s="469"/>
      <c r="F22" s="439"/>
      <c r="G22" s="439"/>
      <c r="H22" s="468"/>
      <c r="I22" s="439"/>
      <c r="J22" s="440"/>
      <c r="K22" s="453"/>
    </row>
    <row r="23" spans="1:11" s="114" customFormat="1" ht="15">
      <c r="A23" s="110"/>
      <c r="B23" s="291" t="s">
        <v>165</v>
      </c>
      <c r="C23" s="454"/>
      <c r="D23" s="459"/>
      <c r="E23" s="469"/>
      <c r="F23" s="439"/>
      <c r="G23" s="439"/>
      <c r="H23" s="468"/>
      <c r="I23" s="439"/>
      <c r="J23" s="440"/>
      <c r="K23" s="453"/>
    </row>
    <row r="24" spans="1:11" s="114" customFormat="1" ht="15">
      <c r="A24" s="110"/>
      <c r="B24" s="292"/>
      <c r="C24" s="454"/>
      <c r="D24" s="459"/>
      <c r="E24" s="469"/>
      <c r="F24" s="439"/>
      <c r="G24" s="439"/>
      <c r="H24" s="468"/>
      <c r="I24" s="439"/>
      <c r="J24" s="440"/>
      <c r="K24" s="453"/>
    </row>
    <row r="25" spans="1:11" s="114" customFormat="1" ht="15">
      <c r="A25" s="110"/>
      <c r="B25" s="208" t="s">
        <v>166</v>
      </c>
      <c r="C25" s="188"/>
      <c r="D25" s="459" t="s">
        <v>167</v>
      </c>
      <c r="E25" s="469"/>
      <c r="F25" s="439"/>
      <c r="G25" s="439" t="s">
        <v>135</v>
      </c>
      <c r="H25" s="468"/>
      <c r="I25" s="439"/>
      <c r="J25" s="440" t="s">
        <v>168</v>
      </c>
      <c r="K25" s="453"/>
    </row>
    <row r="26" spans="1:11" s="114" customFormat="1" ht="15">
      <c r="A26" s="110"/>
      <c r="B26" s="481" t="str">
        <f>+'AUX Suelo'!B5</f>
        <v>Provisión de suelo</v>
      </c>
      <c r="C26" s="482"/>
      <c r="D26" s="486">
        <v>1.05</v>
      </c>
      <c r="E26" s="478" t="s">
        <v>188</v>
      </c>
      <c r="F26" s="478"/>
      <c r="G26" s="486">
        <f>+'AUX Suelo'!J27</f>
        <v>27.83</v>
      </c>
      <c r="H26" s="488" t="s">
        <v>91</v>
      </c>
      <c r="I26" s="478"/>
      <c r="J26" s="478">
        <f>+G26*D26</f>
        <v>29.221499999999999</v>
      </c>
      <c r="K26" s="489" t="s">
        <v>91</v>
      </c>
    </row>
    <row r="27" spans="1:11" s="114" customFormat="1" ht="15">
      <c r="A27" s="110"/>
      <c r="B27" s="481" t="s">
        <v>285</v>
      </c>
      <c r="C27" s="482"/>
      <c r="D27" s="826">
        <f>0.05*D26</f>
        <v>5.2500000000000005E-2</v>
      </c>
      <c r="E27" s="478" t="s">
        <v>364</v>
      </c>
      <c r="F27" s="478"/>
      <c r="G27" s="486">
        <f>+'AUX  AC Materiales'!I13</f>
        <v>577.48957875000008</v>
      </c>
      <c r="H27" s="488"/>
      <c r="I27" s="478"/>
      <c r="J27" s="478">
        <f>+G27*D27</f>
        <v>30.318202884375008</v>
      </c>
      <c r="K27" s="489" t="s">
        <v>91</v>
      </c>
    </row>
    <row r="28" spans="1:11" s="114" customFormat="1" ht="15">
      <c r="A28" s="110"/>
      <c r="B28" s="581" t="s">
        <v>331</v>
      </c>
      <c r="C28" s="188"/>
      <c r="D28" s="582">
        <v>0.5</v>
      </c>
      <c r="E28" s="439" t="s">
        <v>188</v>
      </c>
      <c r="F28" s="439"/>
      <c r="G28" s="582">
        <f>+'AUX  AC Materiales'!I47</f>
        <v>872.37097119999999</v>
      </c>
      <c r="H28" s="468" t="s">
        <v>87</v>
      </c>
      <c r="I28" s="439"/>
      <c r="J28" s="439">
        <f>+G28*D28*50%</f>
        <v>218.0927428</v>
      </c>
      <c r="K28" s="453" t="s">
        <v>91</v>
      </c>
    </row>
    <row r="29" spans="1:11" s="114" customFormat="1" ht="15">
      <c r="A29" s="110"/>
      <c r="B29" s="581" t="s">
        <v>332</v>
      </c>
      <c r="C29" s="188"/>
      <c r="D29" s="582">
        <v>1</v>
      </c>
      <c r="E29" s="439" t="s">
        <v>188</v>
      </c>
      <c r="F29" s="439"/>
      <c r="G29" s="582">
        <f>+'AUX  AC Materiales'!I54</f>
        <v>505.1709712</v>
      </c>
      <c r="H29" s="468" t="s">
        <v>87</v>
      </c>
      <c r="I29" s="439"/>
      <c r="J29" s="439">
        <f>+G29*D29*50%</f>
        <v>252.5854856</v>
      </c>
      <c r="K29" s="453" t="s">
        <v>91</v>
      </c>
    </row>
    <row r="30" spans="1:11" s="114" customFormat="1" ht="15">
      <c r="A30" s="110"/>
      <c r="B30" s="273"/>
      <c r="C30" s="490"/>
      <c r="D30" s="486"/>
      <c r="E30" s="487"/>
      <c r="F30" s="478"/>
      <c r="G30" s="478"/>
      <c r="H30" s="488"/>
      <c r="I30" s="478"/>
      <c r="J30" s="491">
        <f>SUM(J26:J29)</f>
        <v>530.21793128437503</v>
      </c>
      <c r="K30" s="492" t="str">
        <f>+K26</f>
        <v>$/m³</v>
      </c>
    </row>
    <row r="31" spans="1:11" s="114" customFormat="1" ht="15">
      <c r="A31" s="110"/>
      <c r="B31" s="292"/>
      <c r="C31" s="454"/>
      <c r="D31" s="459"/>
      <c r="E31" s="469"/>
      <c r="F31" s="439"/>
      <c r="G31" s="439"/>
      <c r="H31" s="468"/>
      <c r="I31" s="439"/>
      <c r="J31" s="440"/>
      <c r="K31" s="453"/>
    </row>
    <row r="32" spans="1:11" s="114" customFormat="1" ht="15">
      <c r="A32" s="110"/>
      <c r="B32" s="292" t="s">
        <v>157</v>
      </c>
      <c r="C32" s="454"/>
      <c r="D32" s="459" t="s">
        <v>231</v>
      </c>
      <c r="E32" s="469"/>
      <c r="F32" s="439"/>
      <c r="G32" s="439"/>
      <c r="H32" s="439"/>
      <c r="I32" s="439"/>
      <c r="J32" s="270">
        <f>+J30+J21</f>
        <v>625.98415221084565</v>
      </c>
      <c r="K32" s="373" t="str">
        <f>+K30</f>
        <v>$/m³</v>
      </c>
    </row>
    <row r="33" spans="1:11" s="114" customFormat="1" ht="15">
      <c r="A33" s="110"/>
      <c r="B33" s="292"/>
      <c r="C33" s="454"/>
      <c r="D33" s="459"/>
      <c r="E33" s="469"/>
      <c r="F33" s="439"/>
      <c r="G33" s="439"/>
      <c r="H33" s="439"/>
      <c r="I33" s="439"/>
      <c r="J33" s="440"/>
      <c r="K33" s="453"/>
    </row>
    <row r="34" spans="1:11" s="114" customFormat="1" ht="15.75" thickBot="1">
      <c r="A34" s="110"/>
      <c r="B34" s="470" t="s">
        <v>158</v>
      </c>
      <c r="C34" s="266"/>
      <c r="D34" s="811">
        <f>+'Coeficiente Resumen'!D19</f>
        <v>1.6619999999999999</v>
      </c>
      <c r="E34" s="471" t="s">
        <v>159</v>
      </c>
      <c r="F34" s="471">
        <f>J32</f>
        <v>625.98415221084565</v>
      </c>
      <c r="G34" s="471" t="str">
        <f>K21</f>
        <v>$/m³</v>
      </c>
      <c r="H34" s="449"/>
      <c r="I34" s="471" t="s">
        <v>155</v>
      </c>
      <c r="J34" s="271">
        <f>+D34*F34</f>
        <v>1040.3856609744255</v>
      </c>
      <c r="K34" s="374" t="str">
        <f>K21</f>
        <v>$/m³</v>
      </c>
    </row>
    <row r="35" spans="1:11" s="122" customFormat="1" ht="17.25" thickTop="1" thickBot="1">
      <c r="A35" s="129"/>
      <c r="B35" s="989" t="s">
        <v>160</v>
      </c>
      <c r="C35" s="989"/>
      <c r="D35" s="990">
        <f>ROUND(J34,2)</f>
        <v>1040.3900000000001</v>
      </c>
      <c r="E35" s="990"/>
      <c r="F35" s="992" t="str">
        <f>+K34</f>
        <v>$/m³</v>
      </c>
      <c r="G35" s="992"/>
      <c r="H35" s="992"/>
      <c r="I35" s="267"/>
      <c r="J35" s="268"/>
      <c r="K35" s="269"/>
    </row>
    <row r="36" spans="1:11" ht="15.75" thickTop="1">
      <c r="C36" s="152"/>
      <c r="D36" s="123"/>
      <c r="E36" s="123"/>
      <c r="F36" s="121"/>
      <c r="G36" s="123"/>
    </row>
    <row r="37" spans="1:11">
      <c r="C37" s="155"/>
    </row>
    <row r="38" spans="1:11">
      <c r="C38" s="294"/>
      <c r="D38" s="985"/>
      <c r="E38" s="985"/>
      <c r="F38" s="158"/>
    </row>
    <row r="39" spans="1:11">
      <c r="C39" s="294"/>
      <c r="D39" s="985"/>
      <c r="E39" s="985"/>
    </row>
    <row r="40" spans="1:11">
      <c r="C40" s="294"/>
      <c r="D40" s="985"/>
      <c r="E40" s="985"/>
    </row>
    <row r="41" spans="1:11">
      <c r="C41" s="294"/>
      <c r="D41" s="985"/>
      <c r="E41" s="985"/>
    </row>
  </sheetData>
  <mergeCells count="9">
    <mergeCell ref="D39:E39"/>
    <mergeCell ref="D40:E40"/>
    <mergeCell ref="D41:E41"/>
    <mergeCell ref="B5:K5"/>
    <mergeCell ref="B2:K2"/>
    <mergeCell ref="B35:C35"/>
    <mergeCell ref="D35:E35"/>
    <mergeCell ref="F35:H35"/>
    <mergeCell ref="D38:E38"/>
  </mergeCells>
  <hyperlinks>
    <hyperlink ref="M5" location="'Pres-geob.'!A1" display="PRESUPUESTO"/>
    <hyperlink ref="M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V41"/>
  <sheetViews>
    <sheetView showGridLines="0" view="pageBreakPreview" topLeftCell="A10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3.5703125" style="289" customWidth="1"/>
    <col min="3" max="3" width="28.7109375" style="289" customWidth="1"/>
    <col min="4" max="4" width="7" style="295" customWidth="1"/>
    <col min="5" max="5" width="7.85546875" style="289" customWidth="1"/>
    <col min="6" max="6" width="8.5703125" style="289" customWidth="1"/>
    <col min="7" max="7" width="8.140625" style="289" customWidth="1"/>
    <col min="8" max="8" width="8.28515625" style="289" customWidth="1"/>
    <col min="9" max="9" width="3.28515625" style="289" customWidth="1"/>
    <col min="10" max="10" width="8.85546875" style="153" customWidth="1"/>
    <col min="11" max="11" width="7.570312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19.5" thickTop="1" thickBot="1">
      <c r="A5" s="107"/>
      <c r="B5" s="986" t="s">
        <v>370</v>
      </c>
      <c r="C5" s="987"/>
      <c r="D5" s="987"/>
      <c r="E5" s="987"/>
      <c r="F5" s="987"/>
      <c r="G5" s="987"/>
      <c r="H5" s="987"/>
      <c r="I5" s="987"/>
      <c r="J5" s="987"/>
      <c r="K5" s="988"/>
      <c r="L5" s="107"/>
      <c r="S5" s="107"/>
      <c r="V5" s="305" t="s">
        <v>2</v>
      </c>
    </row>
    <row r="6" spans="1:22" s="114" customFormat="1" ht="15.75" thickTop="1">
      <c r="A6" s="110"/>
      <c r="B6" s="265" t="s">
        <v>133</v>
      </c>
      <c r="C6" s="434"/>
      <c r="D6" s="435" t="s">
        <v>134</v>
      </c>
      <c r="E6" s="435"/>
      <c r="F6" s="434" t="s">
        <v>135</v>
      </c>
      <c r="G6" s="435"/>
      <c r="H6" s="434" t="s">
        <v>136</v>
      </c>
      <c r="I6" s="435"/>
      <c r="J6" s="434"/>
      <c r="K6" s="436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305" t="s">
        <v>141</v>
      </c>
    </row>
    <row r="7" spans="1:22" s="114" customFormat="1" ht="15">
      <c r="A7" s="110">
        <v>44</v>
      </c>
      <c r="B7" s="437">
        <v>2</v>
      </c>
      <c r="C7" s="188" t="str">
        <f>VLOOKUP(A7,'Costo Equipos'!$1:$1048576,2,0)</f>
        <v>Herramientas menores</v>
      </c>
      <c r="D7" s="438">
        <f>VLOOKUP(A7,'Costo Equipos'!$1:$1048576,4,0)</f>
        <v>0</v>
      </c>
      <c r="E7" s="439" t="s">
        <v>142</v>
      </c>
      <c r="F7" s="440">
        <f>VLOOKUP(A7,'Costo Equipos'!$1:$1048576,14,0)</f>
        <v>24.633000000000003</v>
      </c>
      <c r="G7" s="441" t="str">
        <f>+G13</f>
        <v>$/d  =</v>
      </c>
      <c r="H7" s="442">
        <f>+F7*B7</f>
        <v>49.266000000000005</v>
      </c>
      <c r="I7" s="441" t="s">
        <v>143</v>
      </c>
      <c r="J7" s="443"/>
      <c r="K7" s="444"/>
      <c r="L7" s="112">
        <v>13</v>
      </c>
      <c r="M7" s="113" t="e">
        <f>+LOOKUP(L7,#REF!,#REF!)</f>
        <v>#REF!</v>
      </c>
      <c r="N7" s="113" t="s">
        <v>144</v>
      </c>
      <c r="O7" s="113"/>
      <c r="P7" s="118" t="e">
        <f>+(LOOKUP(L7,#REF!,#REF!))*B7</f>
        <v>#REF!</v>
      </c>
      <c r="Q7" s="118" t="e">
        <f>+(LOOKUP(L7,#REF!,#REF!))*B7</f>
        <v>#REF!</v>
      </c>
      <c r="R7" s="118" t="e">
        <f>+(LOOKUP(L7,#REF!,#REF!))*B7</f>
        <v>#REF!</v>
      </c>
      <c r="S7" s="118" t="e">
        <f>+(LOOKUP(L7,#REF!,#REF!))*B7</f>
        <v>#REF!</v>
      </c>
      <c r="T7" s="119" t="e">
        <f>+#REF!+#REF!+#REF!+#REF!</f>
        <v>#REF!</v>
      </c>
    </row>
    <row r="8" spans="1:22" s="114" customFormat="1" ht="15">
      <c r="A8" s="110">
        <v>40</v>
      </c>
      <c r="B8" s="437">
        <v>1</v>
      </c>
      <c r="C8" s="188" t="str">
        <f>VLOOKUP(A8,'Costo Equipos'!$1:$1048576,2,0)</f>
        <v>Camión Grúa</v>
      </c>
      <c r="D8" s="438">
        <f>VLOOKUP(A8,'Costo Equipos'!$1:$1048576,4,0)</f>
        <v>145</v>
      </c>
      <c r="E8" s="439" t="s">
        <v>142</v>
      </c>
      <c r="F8" s="440">
        <f>VLOOKUP(A8,'Costo Equipos'!$1:$1048576,14,0)</f>
        <v>1626.1676676470588</v>
      </c>
      <c r="G8" s="441" t="str">
        <f>+G14</f>
        <v>$/d  =</v>
      </c>
      <c r="H8" s="442">
        <f>+F8*B8</f>
        <v>1626.1676676470588</v>
      </c>
      <c r="I8" s="441" t="s">
        <v>143</v>
      </c>
      <c r="J8" s="443"/>
      <c r="K8" s="444"/>
      <c r="L8" s="112"/>
      <c r="M8" s="113"/>
      <c r="N8" s="113"/>
      <c r="O8" s="113"/>
      <c r="P8" s="327"/>
      <c r="Q8" s="327"/>
      <c r="R8" s="327"/>
      <c r="S8" s="327"/>
      <c r="T8" s="119"/>
    </row>
    <row r="9" spans="1:22" s="114" customFormat="1" ht="15">
      <c r="A9" s="110">
        <v>41</v>
      </c>
      <c r="B9" s="437">
        <v>1</v>
      </c>
      <c r="C9" s="188" t="str">
        <f>VLOOKUP(A9,'Costo Equipos'!$1:$1048576,2,0)</f>
        <v>Camion Volcador 15 t</v>
      </c>
      <c r="D9" s="438">
        <f>VLOOKUP(A9,'Costo Equipos'!$1:$1048576,4,0)</f>
        <v>160</v>
      </c>
      <c r="E9" s="439" t="s">
        <v>142</v>
      </c>
      <c r="F9" s="440">
        <f>VLOOKUP(A9,'Costo Equipos'!$1:$1048576,14,0)</f>
        <v>2070.9581500000004</v>
      </c>
      <c r="G9" s="441" t="str">
        <f>+G7</f>
        <v>$/d  =</v>
      </c>
      <c r="H9" s="442">
        <f>+F9*B9</f>
        <v>2070.9581500000004</v>
      </c>
      <c r="I9" s="441" t="s">
        <v>143</v>
      </c>
      <c r="J9" s="443"/>
      <c r="K9" s="444"/>
      <c r="L9" s="112">
        <v>7</v>
      </c>
      <c r="M9" s="113" t="e">
        <f>+LOOKUP(L9,#REF!,#REF!)</f>
        <v>#REF!</v>
      </c>
      <c r="N9" s="113"/>
      <c r="O9" s="113"/>
      <c r="P9" s="118" t="e">
        <f>+(LOOKUP(L9,#REF!,#REF!))*B9</f>
        <v>#REF!</v>
      </c>
      <c r="Q9" s="118" t="e">
        <f>+(LOOKUP(L9,#REF!,#REF!))*B9</f>
        <v>#REF!</v>
      </c>
      <c r="R9" s="118" t="e">
        <f>+(LOOKUP(L9,#REF!,#REF!))*B9</f>
        <v>#REF!</v>
      </c>
      <c r="S9" s="118" t="e">
        <f>+(LOOKUP(L9,#REF!,#REF!))*B9</f>
        <v>#REF!</v>
      </c>
      <c r="T9" s="119" t="e">
        <f>+S7+R7+Q7+P7</f>
        <v>#REF!</v>
      </c>
    </row>
    <row r="10" spans="1:22" s="114" customFormat="1" ht="15">
      <c r="A10" s="110"/>
      <c r="B10" s="445"/>
      <c r="C10" s="446"/>
      <c r="D10" s="447">
        <f>SUMPRODUCT(B7:B9,D7:D9)</f>
        <v>305</v>
      </c>
      <c r="E10" s="448" t="s">
        <v>142</v>
      </c>
      <c r="F10" s="449"/>
      <c r="G10" s="443"/>
      <c r="H10" s="450">
        <f>+SUM(H7:H9)</f>
        <v>3746.3918176470593</v>
      </c>
      <c r="I10" s="451" t="s">
        <v>143</v>
      </c>
      <c r="J10" s="440"/>
      <c r="K10" s="452"/>
      <c r="L10" s="112"/>
      <c r="M10" s="113"/>
      <c r="N10" s="113"/>
      <c r="O10" s="113"/>
      <c r="P10" s="124" t="e">
        <f>SUM(P7:P9)</f>
        <v>#REF!</v>
      </c>
      <c r="Q10" s="125" t="e">
        <f>SUM(Q7:Q9)</f>
        <v>#REF!</v>
      </c>
      <c r="R10" s="125" t="e">
        <f>SUM(R7:R9)</f>
        <v>#REF!</v>
      </c>
      <c r="S10" s="126" t="e">
        <f>SUM(S7:S9)</f>
        <v>#REF!</v>
      </c>
      <c r="T10" s="119" t="e">
        <f>+#REF!+#REF!+#REF!+#REF!</f>
        <v>#REF!</v>
      </c>
    </row>
    <row r="11" spans="1:22" s="114" customFormat="1" ht="15">
      <c r="A11" s="110"/>
      <c r="B11" s="445"/>
      <c r="C11" s="290"/>
      <c r="D11" s="439"/>
      <c r="E11" s="439"/>
      <c r="F11" s="440"/>
      <c r="G11" s="439"/>
      <c r="H11" s="440"/>
      <c r="I11" s="439"/>
      <c r="J11" s="440"/>
      <c r="K11" s="453"/>
      <c r="L11" s="112"/>
      <c r="N11" s="113"/>
      <c r="O11" s="113"/>
      <c r="P11" s="119"/>
      <c r="S11" s="110"/>
      <c r="T11" s="296" t="e">
        <f>SUM(T7:T10)</f>
        <v>#REF!</v>
      </c>
    </row>
    <row r="12" spans="1:22" s="114" customFormat="1" ht="15">
      <c r="A12" s="110"/>
      <c r="B12" s="291" t="s">
        <v>145</v>
      </c>
      <c r="C12" s="454"/>
      <c r="D12" s="455"/>
      <c r="E12" s="455"/>
      <c r="F12" s="456" t="s">
        <v>135</v>
      </c>
      <c r="G12" s="455"/>
      <c r="H12" s="456" t="s">
        <v>136</v>
      </c>
      <c r="I12" s="455"/>
      <c r="J12" s="440"/>
      <c r="K12" s="457"/>
      <c r="L12" s="112"/>
      <c r="O12" s="113"/>
      <c r="P12" s="119"/>
      <c r="S12" s="110"/>
    </row>
    <row r="13" spans="1:22" s="114" customFormat="1" ht="15">
      <c r="A13" s="110">
        <v>2</v>
      </c>
      <c r="B13" s="458">
        <v>4</v>
      </c>
      <c r="C13" s="188" t="str">
        <f>IF(A13=1,"Oficial Especializado",IF(A13=2,"Oficial",IF(A13=3,"Medio oficial",IF(A13=4,"Ayudante",IF(A13=5,"Maquinista",0)))))</f>
        <v>Oficial</v>
      </c>
      <c r="D13" s="459"/>
      <c r="E13" s="439"/>
      <c r="F13" s="440">
        <f>+'Mano de Obra'!G47</f>
        <v>338.59</v>
      </c>
      <c r="G13" s="441" t="s">
        <v>146</v>
      </c>
      <c r="H13" s="440">
        <f>F13*B13</f>
        <v>1354.36</v>
      </c>
      <c r="I13" s="441" t="s">
        <v>143</v>
      </c>
      <c r="J13" s="440"/>
      <c r="K13" s="460"/>
      <c r="L13" s="112"/>
      <c r="O13" s="113"/>
      <c r="S13" s="110"/>
    </row>
    <row r="14" spans="1:22" s="114" customFormat="1" ht="15">
      <c r="A14" s="110">
        <v>4</v>
      </c>
      <c r="B14" s="458">
        <v>8</v>
      </c>
      <c r="C14" s="188" t="str">
        <f t="shared" ref="C14" si="0">IF(A14=1,"Oficial Especializado",IF(A14=2,"Oficial",IF(A14=3,"Medio oficial",IF(A14=4,"Ayudante",IF(A14=5,"Maquinista",0)))))</f>
        <v>Ayudante</v>
      </c>
      <c r="D14" s="459"/>
      <c r="E14" s="439"/>
      <c r="F14" s="440">
        <f>+'Mano de Obra'!I47</f>
        <v>286.54000000000002</v>
      </c>
      <c r="G14" s="441" t="s">
        <v>146</v>
      </c>
      <c r="H14" s="440">
        <f>F14*B14</f>
        <v>2292.3200000000002</v>
      </c>
      <c r="I14" s="441" t="s">
        <v>143</v>
      </c>
      <c r="J14" s="440"/>
      <c r="K14" s="460"/>
      <c r="L14" s="112"/>
      <c r="O14" s="113"/>
      <c r="P14" s="983" t="s">
        <v>147</v>
      </c>
      <c r="Q14" s="983"/>
      <c r="R14" s="983"/>
      <c r="S14" s="130" t="e">
        <f>+SUM(P10:R10)*D34/D18</f>
        <v>#REF!</v>
      </c>
    </row>
    <row r="15" spans="1:22" s="114" customFormat="1" ht="15">
      <c r="A15" s="110"/>
      <c r="B15" s="445"/>
      <c r="C15" s="463"/>
      <c r="D15" s="439"/>
      <c r="E15" s="439"/>
      <c r="F15" s="440"/>
      <c r="G15" s="439"/>
      <c r="H15" s="464">
        <f>SUM(H13:H14)</f>
        <v>3646.6800000000003</v>
      </c>
      <c r="I15" s="465" t="s">
        <v>143</v>
      </c>
      <c r="J15" s="440"/>
      <c r="K15" s="453"/>
      <c r="L15" s="112"/>
      <c r="M15" s="298"/>
      <c r="N15" s="297"/>
      <c r="O15" s="113"/>
      <c r="P15" s="984" t="s">
        <v>0</v>
      </c>
      <c r="Q15" s="984"/>
      <c r="R15" s="984"/>
      <c r="S15" s="135" t="e">
        <f>+S10*D34/D18</f>
        <v>#REF!</v>
      </c>
    </row>
    <row r="16" spans="1:22" s="114" customFormat="1" ht="15">
      <c r="A16" s="110"/>
      <c r="B16" s="445"/>
      <c r="C16" s="463"/>
      <c r="D16" s="439"/>
      <c r="E16" s="439"/>
      <c r="F16" s="440"/>
      <c r="G16" s="439"/>
      <c r="H16" s="440"/>
      <c r="I16" s="439"/>
      <c r="J16" s="440"/>
      <c r="K16" s="453"/>
      <c r="L16" s="112"/>
      <c r="M16" s="298"/>
      <c r="N16" s="297"/>
      <c r="O16" s="113"/>
      <c r="P16" s="380"/>
      <c r="Q16" s="380"/>
      <c r="R16" s="380"/>
      <c r="S16" s="135"/>
    </row>
    <row r="17" spans="1:19" s="114" customFormat="1" ht="15">
      <c r="A17" s="110"/>
      <c r="B17" s="292" t="s">
        <v>148</v>
      </c>
      <c r="C17" s="454"/>
      <c r="D17" s="215" t="s">
        <v>149</v>
      </c>
      <c r="E17" s="455"/>
      <c r="F17" s="466"/>
      <c r="G17" s="455"/>
      <c r="H17" s="466"/>
      <c r="I17" s="455"/>
      <c r="J17" s="440">
        <f>H15+H10</f>
        <v>7393.07181764706</v>
      </c>
      <c r="K17" s="452" t="s">
        <v>143</v>
      </c>
      <c r="L17" s="112"/>
      <c r="M17" s="113"/>
      <c r="N17" s="113"/>
      <c r="O17" s="113"/>
      <c r="P17" s="984" t="s">
        <v>1</v>
      </c>
      <c r="Q17" s="984"/>
      <c r="R17" s="984"/>
      <c r="S17" s="135">
        <f>+H15*D34/D18</f>
        <v>30.303910799999997</v>
      </c>
    </row>
    <row r="18" spans="1:19" s="114" customFormat="1" ht="15">
      <c r="A18" s="110"/>
      <c r="B18" s="292" t="s">
        <v>150</v>
      </c>
      <c r="C18" s="467"/>
      <c r="D18" s="439">
        <v>200</v>
      </c>
      <c r="E18" s="468" t="s">
        <v>175</v>
      </c>
      <c r="F18" s="466"/>
      <c r="G18" s="455"/>
      <c r="H18" s="466"/>
      <c r="I18" s="455"/>
      <c r="J18" s="440"/>
      <c r="K18" s="457"/>
      <c r="L18" s="112"/>
      <c r="M18" s="113"/>
      <c r="N18" s="113"/>
      <c r="O18" s="138"/>
      <c r="P18" s="984" t="s">
        <v>152</v>
      </c>
      <c r="Q18" s="984"/>
      <c r="R18" s="984"/>
      <c r="S18" s="135"/>
    </row>
    <row r="19" spans="1:19" s="114" customFormat="1" ht="15">
      <c r="A19" s="110"/>
      <c r="B19" s="292" t="s">
        <v>178</v>
      </c>
      <c r="C19" s="454"/>
      <c r="D19" s="459"/>
      <c r="E19" s="469">
        <f>J17</f>
        <v>7393.07181764706</v>
      </c>
      <c r="F19" s="439" t="s">
        <v>154</v>
      </c>
      <c r="G19" s="439">
        <f>D18</f>
        <v>200</v>
      </c>
      <c r="H19" s="468" t="str">
        <f>E18</f>
        <v>m²/d</v>
      </c>
      <c r="I19" s="439" t="s">
        <v>155</v>
      </c>
      <c r="J19" s="440">
        <f>E19/G19</f>
        <v>36.965359088235303</v>
      </c>
      <c r="K19" s="453" t="s">
        <v>89</v>
      </c>
      <c r="L19" s="112"/>
      <c r="M19" s="113"/>
      <c r="N19" s="113"/>
      <c r="O19" s="113"/>
      <c r="S19" s="135" t="e">
        <f>+S17+S15+S14</f>
        <v>#REF!</v>
      </c>
    </row>
    <row r="20" spans="1:19" s="114" customFormat="1" ht="15">
      <c r="A20" s="110"/>
      <c r="B20" s="292"/>
      <c r="C20" s="454"/>
      <c r="D20" s="459"/>
      <c r="E20" s="469"/>
      <c r="F20" s="439"/>
      <c r="G20" s="439"/>
      <c r="H20" s="468"/>
      <c r="I20" s="439"/>
      <c r="J20" s="440"/>
      <c r="K20" s="453"/>
      <c r="L20" s="112"/>
      <c r="M20" s="113"/>
      <c r="N20" s="113"/>
      <c r="O20" s="113"/>
      <c r="S20" s="161"/>
    </row>
    <row r="21" spans="1:19" s="114" customFormat="1" ht="15">
      <c r="A21" s="110"/>
      <c r="B21" s="291" t="s">
        <v>165</v>
      </c>
      <c r="C21" s="454"/>
      <c r="D21" s="459"/>
      <c r="E21" s="469"/>
      <c r="F21" s="439"/>
      <c r="G21" s="439"/>
      <c r="H21" s="468"/>
      <c r="I21" s="439"/>
      <c r="J21" s="440"/>
      <c r="K21" s="453"/>
      <c r="L21" s="112"/>
      <c r="M21" s="113"/>
      <c r="N21" s="113"/>
      <c r="O21" s="113"/>
      <c r="S21" s="161"/>
    </row>
    <row r="22" spans="1:19" s="114" customFormat="1" ht="15">
      <c r="A22" s="110"/>
      <c r="B22" s="292"/>
      <c r="C22" s="454"/>
      <c r="D22" s="459"/>
      <c r="E22" s="469"/>
      <c r="F22" s="439"/>
      <c r="G22" s="439"/>
      <c r="H22" s="468"/>
      <c r="I22" s="439"/>
      <c r="J22" s="440"/>
      <c r="K22" s="453"/>
      <c r="L22" s="112"/>
      <c r="M22" s="113"/>
      <c r="N22" s="113"/>
      <c r="O22" s="113"/>
      <c r="S22" s="161"/>
    </row>
    <row r="23" spans="1:19" s="114" customFormat="1" ht="15">
      <c r="A23" s="110"/>
      <c r="B23" s="208" t="s">
        <v>166</v>
      </c>
      <c r="C23" s="188"/>
      <c r="D23" s="459" t="s">
        <v>167</v>
      </c>
      <c r="E23" s="469"/>
      <c r="F23" s="439"/>
      <c r="G23" s="439" t="s">
        <v>135</v>
      </c>
      <c r="H23" s="468"/>
      <c r="I23" s="439"/>
      <c r="J23" s="440" t="s">
        <v>168</v>
      </c>
      <c r="K23" s="453"/>
      <c r="L23" s="112"/>
      <c r="M23" s="113"/>
      <c r="N23" s="113"/>
      <c r="O23" s="113"/>
      <c r="S23" s="161"/>
    </row>
    <row r="24" spans="1:19" s="114" customFormat="1" ht="15">
      <c r="A24" s="110"/>
      <c r="B24" s="208" t="s">
        <v>284</v>
      </c>
      <c r="C24" s="188"/>
      <c r="D24" s="459">
        <v>1</v>
      </c>
      <c r="E24" s="478" t="s">
        <v>176</v>
      </c>
      <c r="F24" s="439"/>
      <c r="G24" s="439">
        <f>+'AUX  AC Materiales'!I19</f>
        <v>57.126000000000005</v>
      </c>
      <c r="H24" s="488" t="s">
        <v>89</v>
      </c>
      <c r="I24" s="439"/>
      <c r="J24" s="439">
        <f>+D24*G24</f>
        <v>57.126000000000005</v>
      </c>
      <c r="K24" s="489" t="s">
        <v>89</v>
      </c>
      <c r="L24" s="112"/>
      <c r="M24" s="113"/>
      <c r="N24" s="113"/>
      <c r="O24" s="113"/>
      <c r="S24" s="161"/>
    </row>
    <row r="25" spans="1:19" s="114" customFormat="1" ht="15">
      <c r="A25" s="110"/>
      <c r="B25" s="481" t="s">
        <v>195</v>
      </c>
      <c r="C25" s="482"/>
      <c r="D25" s="486">
        <f>1*0.2</f>
        <v>0.2</v>
      </c>
      <c r="E25" s="478" t="s">
        <v>242</v>
      </c>
      <c r="F25" s="478"/>
      <c r="G25" s="486">
        <f>+'AUX Suelo'!J27</f>
        <v>27.83</v>
      </c>
      <c r="H25" s="488" t="s">
        <v>91</v>
      </c>
      <c r="I25" s="478"/>
      <c r="J25" s="478">
        <f t="shared" ref="J25:J26" si="1">+G25*D25</f>
        <v>5.5659999999999998</v>
      </c>
      <c r="K25" s="489" t="s">
        <v>89</v>
      </c>
      <c r="L25" s="112"/>
      <c r="M25" s="113"/>
      <c r="N25" s="113"/>
      <c r="O25" s="113"/>
      <c r="S25" s="161"/>
    </row>
    <row r="26" spans="1:19" s="114" customFormat="1" ht="15">
      <c r="A26" s="110"/>
      <c r="B26" s="481" t="s">
        <v>285</v>
      </c>
      <c r="C26" s="482"/>
      <c r="D26" s="486">
        <f>0.07*D25</f>
        <v>1.4000000000000002E-2</v>
      </c>
      <c r="E26" s="478" t="s">
        <v>177</v>
      </c>
      <c r="F26" s="478"/>
      <c r="G26" s="486">
        <f>+'AUX  AC Materiales'!I13</f>
        <v>577.48957875000008</v>
      </c>
      <c r="H26" s="488" t="s">
        <v>171</v>
      </c>
      <c r="I26" s="478"/>
      <c r="J26" s="478">
        <f t="shared" si="1"/>
        <v>8.0848541025000031</v>
      </c>
      <c r="K26" s="489" t="s">
        <v>89</v>
      </c>
      <c r="L26" s="112"/>
      <c r="M26" s="113"/>
      <c r="N26" s="113"/>
      <c r="O26" s="113"/>
      <c r="S26" s="161"/>
    </row>
    <row r="27" spans="1:19" s="114" customFormat="1" ht="15">
      <c r="A27" s="110"/>
      <c r="B27" s="481" t="s">
        <v>358</v>
      </c>
      <c r="C27" s="482"/>
      <c r="D27" s="486">
        <f>2*2</f>
        <v>4</v>
      </c>
      <c r="E27" s="478" t="s">
        <v>359</v>
      </c>
      <c r="F27" s="478"/>
      <c r="G27" s="486">
        <f>+'AUX  AC Materiales'!I61</f>
        <v>1.7397711999999999</v>
      </c>
      <c r="H27" s="488" t="s">
        <v>86</v>
      </c>
      <c r="I27" s="478"/>
      <c r="J27" s="478">
        <f>+D27*G27</f>
        <v>6.9590847999999994</v>
      </c>
      <c r="K27" s="489" t="s">
        <v>89</v>
      </c>
      <c r="L27" s="112"/>
      <c r="M27" s="113"/>
      <c r="N27" s="113"/>
      <c r="O27" s="113"/>
      <c r="S27" s="161"/>
    </row>
    <row r="28" spans="1:19" s="114" customFormat="1" ht="15">
      <c r="A28" s="110"/>
      <c r="B28" s="481" t="s">
        <v>413</v>
      </c>
      <c r="C28" s="482"/>
      <c r="D28" s="827">
        <f>+PI()*0.01^2/4*0.8*7.85</f>
        <v>4.9323004661359752E-4</v>
      </c>
      <c r="E28" s="478" t="s">
        <v>177</v>
      </c>
      <c r="F28" s="478"/>
      <c r="G28" s="486">
        <f>+'AUX  AC Materiales'!I70</f>
        <v>7104.6450000000004</v>
      </c>
      <c r="H28" s="488" t="s">
        <v>171</v>
      </c>
      <c r="I28" s="478"/>
      <c r="J28" s="478">
        <f>+D28*G28</f>
        <v>3.504224384523063</v>
      </c>
      <c r="K28" s="489" t="s">
        <v>89</v>
      </c>
      <c r="L28" s="112"/>
      <c r="M28" s="113"/>
      <c r="N28" s="113"/>
      <c r="O28" s="113"/>
      <c r="S28" s="161"/>
    </row>
    <row r="29" spans="1:19" s="114" customFormat="1" ht="15">
      <c r="A29" s="110"/>
      <c r="B29" s="481" t="s">
        <v>409</v>
      </c>
      <c r="C29" s="482"/>
      <c r="D29" s="827">
        <f>1/20*0.8*PI()*0.01</f>
        <v>1.2566370614359175E-3</v>
      </c>
      <c r="E29" s="478" t="s">
        <v>412</v>
      </c>
      <c r="F29" s="478"/>
      <c r="G29" s="486">
        <f>+'Precios Básicos Materiales'!D18</f>
        <v>46.112499999999997</v>
      </c>
      <c r="H29" s="488" t="s">
        <v>83</v>
      </c>
      <c r="I29" s="478"/>
      <c r="J29" s="478">
        <f>+D29*G29</f>
        <v>5.7946676495463742E-2</v>
      </c>
      <c r="K29" s="489" t="s">
        <v>89</v>
      </c>
      <c r="L29" s="112"/>
      <c r="M29" s="113"/>
      <c r="N29" s="113"/>
      <c r="O29" s="113"/>
      <c r="S29" s="161"/>
    </row>
    <row r="30" spans="1:19" s="114" customFormat="1" ht="15">
      <c r="A30" s="110"/>
      <c r="B30" s="481" t="s">
        <v>410</v>
      </c>
      <c r="C30" s="490"/>
      <c r="D30" s="486"/>
      <c r="E30" s="487"/>
      <c r="F30" s="478"/>
      <c r="G30" s="478"/>
      <c r="H30" s="488"/>
      <c r="I30" s="478"/>
      <c r="J30" s="491">
        <f>SUM(J24:J29)</f>
        <v>81.298109963518542</v>
      </c>
      <c r="K30" s="492" t="s">
        <v>89</v>
      </c>
      <c r="L30" s="112"/>
      <c r="M30" s="113"/>
      <c r="N30" s="113"/>
      <c r="O30" s="113"/>
      <c r="S30" s="161"/>
    </row>
    <row r="31" spans="1:19" s="114" customFormat="1" ht="15">
      <c r="A31" s="110"/>
      <c r="B31" s="292"/>
      <c r="C31" s="454"/>
      <c r="D31" s="459"/>
      <c r="E31" s="469"/>
      <c r="F31" s="439"/>
      <c r="G31" s="439"/>
      <c r="H31" s="468"/>
      <c r="I31" s="439"/>
      <c r="J31" s="440"/>
      <c r="K31" s="453"/>
      <c r="L31" s="112"/>
      <c r="M31" s="113"/>
      <c r="N31" s="113"/>
      <c r="O31" s="113"/>
      <c r="S31" s="161"/>
    </row>
    <row r="32" spans="1:19" s="114" customFormat="1" ht="15">
      <c r="A32" s="110"/>
      <c r="B32" s="292" t="s">
        <v>157</v>
      </c>
      <c r="C32" s="454"/>
      <c r="D32" s="459"/>
      <c r="E32" s="469"/>
      <c r="F32" s="439"/>
      <c r="G32" s="439"/>
      <c r="H32" s="439"/>
      <c r="I32" s="439"/>
      <c r="J32" s="270">
        <f>+J19+J30</f>
        <v>118.26346905175384</v>
      </c>
      <c r="K32" s="373" t="s">
        <v>89</v>
      </c>
      <c r="P32" s="139"/>
      <c r="S32" s="110"/>
    </row>
    <row r="33" spans="1:19" s="114" customFormat="1" ht="15">
      <c r="A33" s="110"/>
      <c r="B33" s="292"/>
      <c r="C33" s="454"/>
      <c r="D33" s="459"/>
      <c r="E33" s="469"/>
      <c r="F33" s="439"/>
      <c r="G33" s="439"/>
      <c r="H33" s="439"/>
      <c r="I33" s="439"/>
      <c r="J33" s="440"/>
      <c r="K33" s="453"/>
      <c r="L33" s="112"/>
      <c r="M33" s="113"/>
      <c r="N33" s="113"/>
      <c r="O33" s="113"/>
      <c r="P33" s="139"/>
      <c r="S33" s="140"/>
    </row>
    <row r="34" spans="1:19" s="114" customFormat="1" ht="15.75" thickBot="1">
      <c r="A34" s="110"/>
      <c r="B34" s="470" t="s">
        <v>158</v>
      </c>
      <c r="C34" s="266"/>
      <c r="D34" s="811">
        <f>+'Coeficiente Resumen'!D19</f>
        <v>1.6619999999999999</v>
      </c>
      <c r="E34" s="471" t="s">
        <v>159</v>
      </c>
      <c r="F34" s="471">
        <f>J32</f>
        <v>118.26346905175384</v>
      </c>
      <c r="G34" s="471" t="str">
        <f>K19</f>
        <v>$/m²</v>
      </c>
      <c r="H34" s="449"/>
      <c r="I34" s="471" t="s">
        <v>155</v>
      </c>
      <c r="J34" s="271">
        <f>+D34*F34</f>
        <v>196.55388556401488</v>
      </c>
      <c r="K34" s="374" t="str">
        <f>K19</f>
        <v>$/m²</v>
      </c>
      <c r="L34" s="299"/>
      <c r="M34" s="293"/>
      <c r="N34" s="113"/>
      <c r="O34" s="113"/>
      <c r="P34" s="303"/>
      <c r="S34" s="110"/>
    </row>
    <row r="35" spans="1:19" s="122" customFormat="1" ht="17.25" thickTop="1" thickBot="1">
      <c r="A35" s="129"/>
      <c r="B35" s="989" t="s">
        <v>160</v>
      </c>
      <c r="C35" s="989"/>
      <c r="D35" s="990">
        <f>ROUND(J34,2)</f>
        <v>196.55</v>
      </c>
      <c r="E35" s="990"/>
      <c r="F35" s="992" t="str">
        <f>+K34</f>
        <v>$/m²</v>
      </c>
      <c r="G35" s="992"/>
      <c r="H35" s="992"/>
      <c r="I35" s="267"/>
      <c r="J35" s="268"/>
      <c r="K35" s="269"/>
      <c r="L35" s="300"/>
      <c r="M35" s="301"/>
      <c r="N35" s="128"/>
      <c r="O35" s="128"/>
      <c r="P35" s="149"/>
      <c r="S35" s="129"/>
    </row>
    <row r="36" spans="1:19" ht="15.75" thickTop="1">
      <c r="C36" s="152"/>
      <c r="D36" s="123"/>
      <c r="E36" s="123"/>
      <c r="F36" s="121"/>
      <c r="G36" s="123"/>
    </row>
    <row r="37" spans="1:19">
      <c r="C37" s="155"/>
      <c r="P37" s="302"/>
    </row>
    <row r="38" spans="1:19">
      <c r="C38" s="294"/>
      <c r="D38" s="985"/>
      <c r="E38" s="985"/>
      <c r="F38" s="158"/>
    </row>
    <row r="39" spans="1:19">
      <c r="C39" s="294"/>
      <c r="D39" s="985"/>
      <c r="E39" s="985"/>
      <c r="P39" s="302"/>
    </row>
    <row r="40" spans="1:19">
      <c r="C40" s="294"/>
      <c r="D40" s="985"/>
      <c r="E40" s="985"/>
    </row>
    <row r="41" spans="1:19">
      <c r="C41" s="294"/>
      <c r="D41" s="985"/>
      <c r="E41" s="985"/>
    </row>
  </sheetData>
  <mergeCells count="13">
    <mergeCell ref="P14:R14"/>
    <mergeCell ref="P15:R15"/>
    <mergeCell ref="P17:R17"/>
    <mergeCell ref="P18:R18"/>
    <mergeCell ref="B35:C35"/>
    <mergeCell ref="D35:E35"/>
    <mergeCell ref="F35:H35"/>
    <mergeCell ref="B2:K2"/>
    <mergeCell ref="D38:E38"/>
    <mergeCell ref="D39:E39"/>
    <mergeCell ref="D40:E40"/>
    <mergeCell ref="D41:E41"/>
    <mergeCell ref="B5:K5"/>
  </mergeCells>
  <hyperlinks>
    <hyperlink ref="V5" location="'Pres-geob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W30"/>
  <sheetViews>
    <sheetView showGridLines="0" view="pageBreakPreview" topLeftCell="A10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1" style="295" customWidth="1"/>
    <col min="3" max="3" width="3.5703125" style="289" customWidth="1"/>
    <col min="4" max="4" width="30.42578125" style="289" customWidth="1"/>
    <col min="5" max="5" width="5.5703125" style="295" customWidth="1"/>
    <col min="6" max="6" width="7.85546875" style="289" customWidth="1"/>
    <col min="7" max="7" width="8" style="289" customWidth="1"/>
    <col min="8" max="8" width="6.5703125" style="289" customWidth="1"/>
    <col min="9" max="9" width="9.42578125" style="289" customWidth="1"/>
    <col min="10" max="10" width="5.5703125" style="289" customWidth="1"/>
    <col min="11" max="11" width="9.28515625" style="153" customWidth="1"/>
    <col min="12" max="12" width="5.140625" style="154" customWidth="1"/>
    <col min="13" max="13" width="11" style="295" hidden="1" customWidth="1"/>
    <col min="14" max="14" width="18.85546875" style="289" hidden="1" customWidth="1"/>
    <col min="15" max="19" width="11" style="289" hidden="1" customWidth="1"/>
    <col min="20" max="20" width="12.28515625" style="295" hidden="1" customWidth="1"/>
    <col min="21" max="21" width="0" style="289" hidden="1" customWidth="1"/>
    <col min="22" max="16384" width="11" style="289"/>
  </cols>
  <sheetData>
    <row r="1" spans="1:23" s="264" customFormat="1">
      <c r="B1" s="5"/>
      <c r="C1" s="5"/>
      <c r="G1" s="704"/>
      <c r="H1" s="8"/>
      <c r="I1" s="8"/>
    </row>
    <row r="2" spans="1:23" s="264" customFormat="1" ht="60.75" customHeight="1">
      <c r="C2" s="993" t="s">
        <v>353</v>
      </c>
      <c r="D2" s="993"/>
      <c r="E2" s="993"/>
      <c r="F2" s="993"/>
      <c r="G2" s="993"/>
      <c r="H2" s="993"/>
      <c r="I2" s="993"/>
      <c r="J2" s="993"/>
      <c r="K2" s="993"/>
      <c r="L2" s="993"/>
    </row>
    <row r="3" spans="1:23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3" s="742" customFormat="1" ht="16.5" customHeight="1" thickBot="1">
      <c r="B4" s="740"/>
      <c r="C4" s="740"/>
      <c r="D4" s="740"/>
      <c r="E4" s="740"/>
      <c r="F4" s="740"/>
      <c r="G4" s="740"/>
      <c r="H4" s="740"/>
      <c r="I4" s="740"/>
      <c r="J4" s="740"/>
      <c r="K4" s="740"/>
    </row>
    <row r="5" spans="1:23" s="108" customFormat="1" ht="19.5" thickTop="1" thickBot="1">
      <c r="A5" s="107"/>
      <c r="B5" s="107"/>
      <c r="C5" s="986" t="s">
        <v>257</v>
      </c>
      <c r="D5" s="987"/>
      <c r="E5" s="987"/>
      <c r="F5" s="987"/>
      <c r="G5" s="987"/>
      <c r="H5" s="987"/>
      <c r="I5" s="987"/>
      <c r="J5" s="987"/>
      <c r="K5" s="987"/>
      <c r="L5" s="988"/>
      <c r="M5" s="107"/>
      <c r="T5" s="107"/>
      <c r="W5" s="305" t="s">
        <v>2</v>
      </c>
    </row>
    <row r="6" spans="1:23" s="114" customFormat="1" ht="15.75" thickTop="1">
      <c r="A6" s="110"/>
      <c r="B6" s="110"/>
      <c r="C6" s="291" t="s">
        <v>258</v>
      </c>
      <c r="D6" s="454"/>
      <c r="E6" s="455"/>
      <c r="F6" s="455"/>
      <c r="G6" s="456" t="s">
        <v>135</v>
      </c>
      <c r="H6" s="455"/>
      <c r="I6" s="456" t="s">
        <v>136</v>
      </c>
      <c r="J6" s="455"/>
      <c r="K6" s="440"/>
      <c r="L6" s="457"/>
      <c r="M6" s="112"/>
      <c r="P6" s="113"/>
      <c r="Q6" s="119"/>
      <c r="T6" s="110"/>
    </row>
    <row r="7" spans="1:23" s="114" customFormat="1" ht="15">
      <c r="A7" s="110">
        <v>1</v>
      </c>
      <c r="B7" s="110"/>
      <c r="C7" s="458">
        <v>1</v>
      </c>
      <c r="D7" s="188" t="str">
        <f>IF(A7=1,"Oficial Especializado",IF(A7=2,"Oficial",IF(A7=3,"Medio oficial",IF(A7=4,"Ayudante",IF(A7=5,"Maquinista",0)))))</f>
        <v>Oficial Especializado</v>
      </c>
      <c r="E7" s="459"/>
      <c r="F7" s="439"/>
      <c r="G7" s="440">
        <f>+'Mano de Obra'!F47</f>
        <v>397.36</v>
      </c>
      <c r="H7" s="441" t="s">
        <v>146</v>
      </c>
      <c r="I7" s="440">
        <f>G7*C7</f>
        <v>397.36</v>
      </c>
      <c r="J7" s="441" t="s">
        <v>143</v>
      </c>
      <c r="K7" s="440"/>
      <c r="L7" s="460"/>
      <c r="M7" s="112"/>
      <c r="P7" s="113"/>
      <c r="T7" s="110"/>
    </row>
    <row r="8" spans="1:23" s="114" customFormat="1" ht="15">
      <c r="A8" s="110">
        <v>4</v>
      </c>
      <c r="B8" s="110"/>
      <c r="C8" s="458">
        <v>2</v>
      </c>
      <c r="D8" s="188" t="str">
        <f t="shared" ref="D8" si="0">IF(A8=1,"Oficial Especializado",IF(A8=2,"Oficial",IF(A8=3,"Medio oficial",IF(A8=4,"Ayudante",IF(A8=5,"Maquinista",0)))))</f>
        <v>Ayudante</v>
      </c>
      <c r="E8" s="459" t="s">
        <v>4</v>
      </c>
      <c r="F8" s="439"/>
      <c r="G8" s="440">
        <f>+'Mano de Obra'!I47</f>
        <v>286.54000000000002</v>
      </c>
      <c r="H8" s="441" t="s">
        <v>146</v>
      </c>
      <c r="I8" s="461">
        <f>G8*C8</f>
        <v>573.08000000000004</v>
      </c>
      <c r="J8" s="462" t="s">
        <v>143</v>
      </c>
      <c r="K8" s="440"/>
      <c r="L8" s="452"/>
      <c r="M8" s="112"/>
      <c r="N8" s="297"/>
      <c r="O8" s="297"/>
      <c r="P8" s="113"/>
      <c r="Q8" s="983"/>
      <c r="R8" s="983"/>
      <c r="S8" s="983"/>
      <c r="T8" s="132"/>
    </row>
    <row r="9" spans="1:23" s="114" customFormat="1" ht="15">
      <c r="A9" s="110"/>
      <c r="B9" s="110"/>
      <c r="C9" s="445"/>
      <c r="D9" s="463"/>
      <c r="E9" s="439"/>
      <c r="F9" s="439"/>
      <c r="G9" s="440"/>
      <c r="H9" s="439"/>
      <c r="I9" s="464">
        <f>SUM(I7:I8)</f>
        <v>970.44</v>
      </c>
      <c r="J9" s="465" t="s">
        <v>143</v>
      </c>
      <c r="K9" s="440"/>
      <c r="L9" s="453"/>
      <c r="M9" s="112"/>
      <c r="N9" s="298"/>
      <c r="O9" s="297"/>
      <c r="P9" s="113"/>
      <c r="Q9" s="984" t="s">
        <v>0</v>
      </c>
      <c r="R9" s="984"/>
      <c r="S9" s="984"/>
      <c r="T9" s="135" t="e">
        <f>+#REF!*E23/E12</f>
        <v>#REF!</v>
      </c>
    </row>
    <row r="10" spans="1:23" s="114" customFormat="1" ht="15">
      <c r="A10" s="110"/>
      <c r="B10" s="110"/>
      <c r="C10" s="445"/>
      <c r="D10" s="463"/>
      <c r="E10" s="439"/>
      <c r="F10" s="439"/>
      <c r="G10" s="440"/>
      <c r="H10" s="439"/>
      <c r="I10" s="440"/>
      <c r="J10" s="439"/>
      <c r="K10" s="440"/>
      <c r="L10" s="453"/>
      <c r="M10" s="112"/>
      <c r="N10" s="298"/>
      <c r="O10" s="297"/>
      <c r="P10" s="113"/>
      <c r="Q10" s="379"/>
      <c r="R10" s="379"/>
      <c r="S10" s="379"/>
      <c r="T10" s="135"/>
    </row>
    <row r="11" spans="1:23" s="114" customFormat="1" ht="15">
      <c r="A11" s="110"/>
      <c r="B11" s="110"/>
      <c r="C11" s="292" t="s">
        <v>148</v>
      </c>
      <c r="D11" s="454"/>
      <c r="E11" s="215" t="s">
        <v>259</v>
      </c>
      <c r="F11" s="455"/>
      <c r="G11" s="466"/>
      <c r="H11" s="455"/>
      <c r="I11" s="466"/>
      <c r="J11" s="455"/>
      <c r="K11" s="440">
        <f>+I9</f>
        <v>970.44</v>
      </c>
      <c r="L11" s="452" t="s">
        <v>143</v>
      </c>
      <c r="M11" s="112"/>
      <c r="N11" s="113"/>
      <c r="O11" s="113"/>
      <c r="P11" s="113"/>
      <c r="Q11" s="984" t="s">
        <v>1</v>
      </c>
      <c r="R11" s="984"/>
      <c r="S11" s="984"/>
      <c r="T11" s="135">
        <f>+I9*E23/E12</f>
        <v>3.22574256</v>
      </c>
    </row>
    <row r="12" spans="1:23" s="114" customFormat="1" ht="15">
      <c r="A12" s="110"/>
      <c r="B12" s="110"/>
      <c r="C12" s="292" t="s">
        <v>150</v>
      </c>
      <c r="D12" s="467"/>
      <c r="E12" s="438">
        <v>500</v>
      </c>
      <c r="F12" s="468" t="s">
        <v>175</v>
      </c>
      <c r="G12" s="466"/>
      <c r="H12" s="455"/>
      <c r="I12" s="466"/>
      <c r="J12" s="455"/>
      <c r="K12" s="440"/>
      <c r="L12" s="457"/>
      <c r="M12" s="112"/>
      <c r="N12" s="113"/>
      <c r="O12" s="113"/>
      <c r="P12" s="138"/>
      <c r="Q12" s="984" t="s">
        <v>152</v>
      </c>
      <c r="R12" s="984"/>
      <c r="S12" s="984"/>
      <c r="T12" s="135"/>
    </row>
    <row r="13" spans="1:23" s="114" customFormat="1" ht="15">
      <c r="A13" s="110"/>
      <c r="B13" s="110"/>
      <c r="C13" s="292" t="s">
        <v>178</v>
      </c>
      <c r="D13" s="454"/>
      <c r="E13" s="459"/>
      <c r="F13" s="469">
        <f>K11</f>
        <v>970.44</v>
      </c>
      <c r="G13" s="439" t="s">
        <v>154</v>
      </c>
      <c r="H13" s="439">
        <f>E12</f>
        <v>500</v>
      </c>
      <c r="I13" s="468" t="str">
        <f>F12</f>
        <v>m²/d</v>
      </c>
      <c r="J13" s="439" t="s">
        <v>155</v>
      </c>
      <c r="K13" s="440">
        <f>F13/H13</f>
        <v>1.9408800000000002</v>
      </c>
      <c r="L13" s="453" t="s">
        <v>89</v>
      </c>
      <c r="M13" s="112"/>
      <c r="N13" s="113"/>
      <c r="O13" s="113"/>
      <c r="P13" s="113"/>
      <c r="T13" s="135" t="e">
        <f>+T11+T9+#REF!</f>
        <v>#REF!</v>
      </c>
    </row>
    <row r="14" spans="1:23" s="114" customFormat="1" ht="15">
      <c r="A14" s="110"/>
      <c r="B14" s="110"/>
      <c r="C14" s="292"/>
      <c r="D14" s="454"/>
      <c r="E14" s="459"/>
      <c r="F14" s="469"/>
      <c r="G14" s="439"/>
      <c r="H14" s="439"/>
      <c r="I14" s="468"/>
      <c r="J14" s="439"/>
      <c r="K14" s="440"/>
      <c r="L14" s="453"/>
      <c r="M14" s="112"/>
      <c r="N14" s="113"/>
      <c r="O14" s="113"/>
      <c r="P14" s="113"/>
      <c r="T14" s="161"/>
    </row>
    <row r="15" spans="1:23" s="114" customFormat="1" ht="15">
      <c r="A15" s="110"/>
      <c r="B15" s="110"/>
      <c r="C15" s="291" t="s">
        <v>165</v>
      </c>
      <c r="D15" s="454"/>
      <c r="E15" s="459"/>
      <c r="F15" s="469"/>
      <c r="G15" s="439"/>
      <c r="H15" s="439"/>
      <c r="I15" s="468"/>
      <c r="J15" s="439"/>
      <c r="K15" s="440"/>
      <c r="L15" s="453"/>
      <c r="M15" s="112"/>
      <c r="N15" s="113"/>
      <c r="O15" s="113"/>
      <c r="P15" s="113"/>
      <c r="T15" s="161"/>
    </row>
    <row r="16" spans="1:23" s="114" customFormat="1" ht="15">
      <c r="A16" s="110"/>
      <c r="B16" s="110"/>
      <c r="C16" s="292"/>
      <c r="D16" s="454"/>
      <c r="E16" s="459"/>
      <c r="F16" s="469"/>
      <c r="G16" s="439"/>
      <c r="H16" s="439"/>
      <c r="I16" s="468"/>
      <c r="J16" s="439"/>
      <c r="K16" s="440"/>
      <c r="L16" s="453"/>
      <c r="M16" s="112"/>
      <c r="N16" s="113"/>
      <c r="O16" s="113"/>
      <c r="P16" s="113"/>
      <c r="T16" s="161"/>
    </row>
    <row r="17" spans="1:20" s="114" customFormat="1" ht="15">
      <c r="A17" s="110"/>
      <c r="B17" s="110"/>
      <c r="C17" s="481" t="s">
        <v>166</v>
      </c>
      <c r="D17" s="482"/>
      <c r="E17" s="486" t="s">
        <v>167</v>
      </c>
      <c r="F17" s="487"/>
      <c r="G17" s="478"/>
      <c r="H17" s="478" t="s">
        <v>135</v>
      </c>
      <c r="I17" s="488"/>
      <c r="J17" s="478"/>
      <c r="K17" s="474" t="s">
        <v>168</v>
      </c>
      <c r="L17" s="489"/>
      <c r="M17" s="112"/>
      <c r="N17" s="113"/>
      <c r="O17" s="113"/>
      <c r="P17" s="113"/>
      <c r="T17" s="161"/>
    </row>
    <row r="18" spans="1:20" s="114" customFormat="1" ht="15">
      <c r="A18" s="110"/>
      <c r="B18" s="110"/>
      <c r="C18" s="481" t="str">
        <f>+'Precios Básicos Materiales'!B9</f>
        <v>Geotextil no tejido 200 gramos</v>
      </c>
      <c r="D18" s="482"/>
      <c r="E18" s="486">
        <v>1</v>
      </c>
      <c r="F18" s="478" t="s">
        <v>176</v>
      </c>
      <c r="G18" s="478"/>
      <c r="H18" s="486">
        <f>+'AUX  AC Materiales'!I26</f>
        <v>6.1024856000000005</v>
      </c>
      <c r="I18" s="488" t="s">
        <v>89</v>
      </c>
      <c r="J18" s="478"/>
      <c r="K18" s="478">
        <f>+H18*E18</f>
        <v>6.1024856000000005</v>
      </c>
      <c r="L18" s="489" t="s">
        <v>89</v>
      </c>
      <c r="M18" s="112"/>
      <c r="N18" s="113"/>
      <c r="O18" s="113"/>
      <c r="P18" s="113"/>
      <c r="T18" s="161"/>
    </row>
    <row r="19" spans="1:20" s="114" customFormat="1" ht="15">
      <c r="A19" s="110"/>
      <c r="B19" s="110"/>
      <c r="C19" s="273"/>
      <c r="D19" s="490"/>
      <c r="E19" s="486"/>
      <c r="F19" s="487"/>
      <c r="G19" s="478"/>
      <c r="H19" s="478"/>
      <c r="I19" s="488"/>
      <c r="J19" s="478"/>
      <c r="K19" s="491">
        <f>SUM(K18:K18)</f>
        <v>6.1024856000000005</v>
      </c>
      <c r="L19" s="492" t="s">
        <v>89</v>
      </c>
      <c r="M19" s="112"/>
      <c r="N19" s="113"/>
      <c r="O19" s="113"/>
      <c r="P19" s="113"/>
      <c r="T19" s="161"/>
    </row>
    <row r="20" spans="1:20" s="114" customFormat="1" ht="15">
      <c r="A20" s="110"/>
      <c r="B20" s="110"/>
      <c r="C20" s="292"/>
      <c r="D20" s="454"/>
      <c r="E20" s="459"/>
      <c r="F20" s="469"/>
      <c r="G20" s="439"/>
      <c r="H20" s="439"/>
      <c r="I20" s="468"/>
      <c r="J20" s="439"/>
      <c r="K20" s="440"/>
      <c r="L20" s="453"/>
      <c r="M20" s="112"/>
      <c r="N20" s="113"/>
      <c r="O20" s="113"/>
      <c r="P20" s="113"/>
      <c r="T20" s="161"/>
    </row>
    <row r="21" spans="1:20" s="114" customFormat="1" ht="15">
      <c r="A21" s="110"/>
      <c r="B21" s="110"/>
      <c r="C21" s="292" t="s">
        <v>157</v>
      </c>
      <c r="D21" s="454"/>
      <c r="E21" s="459"/>
      <c r="F21" s="469"/>
      <c r="G21" s="439"/>
      <c r="H21" s="439"/>
      <c r="I21" s="439"/>
      <c r="J21" s="439"/>
      <c r="K21" s="270">
        <f>+K13+K19</f>
        <v>8.0433656000000013</v>
      </c>
      <c r="L21" s="373" t="s">
        <v>89</v>
      </c>
      <c r="Q21" s="139"/>
      <c r="T21" s="110"/>
    </row>
    <row r="22" spans="1:20" s="114" customFormat="1" ht="15">
      <c r="A22" s="110"/>
      <c r="B22" s="110"/>
      <c r="C22" s="292"/>
      <c r="D22" s="454"/>
      <c r="E22" s="459"/>
      <c r="F22" s="469"/>
      <c r="G22" s="439"/>
      <c r="H22" s="439"/>
      <c r="I22" s="439"/>
      <c r="J22" s="439"/>
      <c r="K22" s="440"/>
      <c r="L22" s="453"/>
      <c r="M22" s="112"/>
      <c r="N22" s="113"/>
      <c r="O22" s="113"/>
      <c r="P22" s="113"/>
      <c r="Q22" s="139"/>
      <c r="T22" s="140"/>
    </row>
    <row r="23" spans="1:20" s="114" customFormat="1" ht="15.75" thickBot="1">
      <c r="A23" s="110"/>
      <c r="B23" s="110"/>
      <c r="C23" s="470" t="s">
        <v>158</v>
      </c>
      <c r="D23" s="266"/>
      <c r="E23" s="811">
        <f>+'Coeficiente Resumen'!D19</f>
        <v>1.6619999999999999</v>
      </c>
      <c r="F23" s="471" t="s">
        <v>159</v>
      </c>
      <c r="G23" s="471">
        <f>K21</f>
        <v>8.0433656000000013</v>
      </c>
      <c r="H23" s="471" t="str">
        <f>L13</f>
        <v>$/m²</v>
      </c>
      <c r="I23" s="449"/>
      <c r="J23" s="471" t="s">
        <v>155</v>
      </c>
      <c r="K23" s="271">
        <f>+E23*G23</f>
        <v>13.368073627200001</v>
      </c>
      <c r="L23" s="374" t="str">
        <f>L13</f>
        <v>$/m²</v>
      </c>
      <c r="M23" s="299"/>
      <c r="N23" s="293"/>
      <c r="O23" s="113"/>
      <c r="P23" s="113"/>
      <c r="Q23" s="303"/>
      <c r="T23" s="110"/>
    </row>
    <row r="24" spans="1:20" s="122" customFormat="1" ht="17.25" thickTop="1" thickBot="1">
      <c r="A24" s="129"/>
      <c r="B24" s="129"/>
      <c r="C24" s="989" t="s">
        <v>160</v>
      </c>
      <c r="D24" s="989"/>
      <c r="E24" s="990">
        <f>ROUND(K23,2)</f>
        <v>13.37</v>
      </c>
      <c r="F24" s="990"/>
      <c r="G24" s="992" t="str">
        <f>+L23</f>
        <v>$/m²</v>
      </c>
      <c r="H24" s="992"/>
      <c r="I24" s="992"/>
      <c r="J24" s="267"/>
      <c r="K24" s="268"/>
      <c r="L24" s="269"/>
      <c r="M24" s="300"/>
      <c r="N24" s="301"/>
      <c r="O24" s="128"/>
      <c r="P24" s="128"/>
      <c r="Q24" s="149"/>
      <c r="T24" s="129"/>
    </row>
    <row r="25" spans="1:20" ht="15.75" thickTop="1">
      <c r="D25" s="152"/>
      <c r="E25" s="123"/>
      <c r="F25" s="123"/>
      <c r="G25" s="121"/>
      <c r="H25" s="123"/>
    </row>
    <row r="26" spans="1:20">
      <c r="D26" s="155"/>
      <c r="Q26" s="302"/>
    </row>
    <row r="27" spans="1:20">
      <c r="D27" s="294"/>
      <c r="E27" s="985"/>
      <c r="F27" s="985"/>
      <c r="G27" s="158"/>
    </row>
    <row r="28" spans="1:20">
      <c r="D28" s="294"/>
      <c r="E28" s="985"/>
      <c r="F28" s="985"/>
      <c r="Q28" s="302"/>
    </row>
    <row r="29" spans="1:20">
      <c r="D29" s="294"/>
      <c r="E29" s="985"/>
      <c r="F29" s="985"/>
    </row>
    <row r="30" spans="1:20">
      <c r="D30" s="294"/>
      <c r="E30" s="985"/>
      <c r="F30" s="985"/>
    </row>
  </sheetData>
  <mergeCells count="13">
    <mergeCell ref="Q8:S8"/>
    <mergeCell ref="Q9:S9"/>
    <mergeCell ref="Q11:S11"/>
    <mergeCell ref="Q12:S12"/>
    <mergeCell ref="C24:D24"/>
    <mergeCell ref="E24:F24"/>
    <mergeCell ref="G24:I24"/>
    <mergeCell ref="C2:L2"/>
    <mergeCell ref="E27:F27"/>
    <mergeCell ref="E28:F28"/>
    <mergeCell ref="E29:F29"/>
    <mergeCell ref="E30:F30"/>
    <mergeCell ref="C5:L5"/>
  </mergeCells>
  <hyperlinks>
    <hyperlink ref="W5" location="'Pres-gav.'!A1" display="PRESUPUESTO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V42"/>
  <sheetViews>
    <sheetView showGridLines="0" view="pageBreakPreview" topLeftCell="A19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6.140625" style="289" customWidth="1"/>
    <col min="3" max="3" width="27.7109375" style="289" customWidth="1"/>
    <col min="4" max="4" width="8.42578125" style="295" customWidth="1"/>
    <col min="5" max="5" width="7.85546875" style="289" customWidth="1"/>
    <col min="6" max="6" width="8.5703125" style="289" customWidth="1"/>
    <col min="7" max="7" width="9.140625" style="289" bestFit="1" customWidth="1"/>
    <col min="8" max="8" width="8.28515625" style="289" customWidth="1"/>
    <col min="9" max="9" width="3.28515625" style="289" customWidth="1"/>
    <col min="10" max="10" width="8.85546875" style="153" customWidth="1"/>
    <col min="11" max="11" width="6.2851562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22.5" thickTop="1" thickBot="1">
      <c r="A5" s="107"/>
      <c r="B5" s="994" t="s">
        <v>369</v>
      </c>
      <c r="C5" s="995"/>
      <c r="D5" s="995"/>
      <c r="E5" s="995"/>
      <c r="F5" s="995"/>
      <c r="G5" s="995"/>
      <c r="H5" s="995"/>
      <c r="I5" s="995"/>
      <c r="J5" s="995"/>
      <c r="K5" s="996"/>
      <c r="L5" s="107"/>
      <c r="S5" s="107"/>
      <c r="V5" s="305" t="s">
        <v>2</v>
      </c>
    </row>
    <row r="6" spans="1:22" s="114" customFormat="1" ht="15.75" thickTop="1">
      <c r="A6" s="110"/>
      <c r="B6" s="291" t="s">
        <v>133</v>
      </c>
      <c r="C6" s="446"/>
      <c r="D6" s="585"/>
      <c r="E6" s="586"/>
      <c r="F6" s="587"/>
      <c r="G6" s="588"/>
      <c r="H6" s="587"/>
      <c r="I6" s="586"/>
      <c r="J6" s="587"/>
      <c r="K6" s="589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305" t="s">
        <v>141</v>
      </c>
    </row>
    <row r="7" spans="1:22" s="114" customFormat="1" ht="15">
      <c r="A7" s="110">
        <v>74</v>
      </c>
      <c r="B7" s="437">
        <v>1</v>
      </c>
      <c r="C7" s="188" t="str">
        <f>VLOOKUP(A7,'Costo Equipos'!$1:$1048576,2,0)</f>
        <v>Cargador frontal CASE</v>
      </c>
      <c r="D7" s="590"/>
      <c r="E7" s="438">
        <f>VLOOKUP(A7,'Costo Equipos'!$1:$1048576,4,0)</f>
        <v>80</v>
      </c>
      <c r="F7" s="439" t="s">
        <v>142</v>
      </c>
      <c r="G7" s="440">
        <f>VLOOKUP(A7,'Costo Equipos'!$1:$1048576,14,0)</f>
        <v>1033.7622941176473</v>
      </c>
      <c r="H7" s="591" t="s">
        <v>161</v>
      </c>
      <c r="I7" s="442"/>
      <c r="J7" s="441">
        <f>+B7*G7</f>
        <v>1033.7622941176473</v>
      </c>
      <c r="K7" s="592" t="s">
        <v>143</v>
      </c>
      <c r="L7" s="112">
        <v>13</v>
      </c>
      <c r="M7" s="113" t="e">
        <f>+LOOKUP(L7,#REF!,#REF!)</f>
        <v>#REF!</v>
      </c>
      <c r="N7" s="113" t="s">
        <v>144</v>
      </c>
      <c r="O7" s="113"/>
      <c r="P7" s="118" t="e">
        <f>+(LOOKUP(L7,#REF!,#REF!))*B7</f>
        <v>#REF!</v>
      </c>
      <c r="Q7" s="118" t="e">
        <f>+(LOOKUP(L7,#REF!,#REF!))*B7</f>
        <v>#REF!</v>
      </c>
      <c r="R7" s="118" t="e">
        <f>+(LOOKUP(L7,#REF!,#REF!))*B7</f>
        <v>#REF!</v>
      </c>
      <c r="S7" s="118" t="e">
        <f>+(LOOKUP(L7,#REF!,#REF!))*B7</f>
        <v>#REF!</v>
      </c>
      <c r="T7" s="119" t="e">
        <f>+#REF!+#REF!+#REF!+#REF!</f>
        <v>#REF!</v>
      </c>
    </row>
    <row r="8" spans="1:22" s="114" customFormat="1" ht="15">
      <c r="A8" s="110">
        <v>44</v>
      </c>
      <c r="B8" s="437">
        <v>2</v>
      </c>
      <c r="C8" s="188" t="str">
        <f>VLOOKUP(A8,'Costo Equipos'!$1:$1048576,2,0)</f>
        <v>Herramientas menores</v>
      </c>
      <c r="D8" s="593"/>
      <c r="E8" s="438">
        <f>VLOOKUP(A8,'Costo Equipos'!$1:$1048576,4,0)</f>
        <v>0</v>
      </c>
      <c r="F8" s="594" t="s">
        <v>142</v>
      </c>
      <c r="G8" s="440">
        <f>VLOOKUP(A8,'Costo Equipos'!$1:$1048576,14,0)</f>
        <v>24.633000000000003</v>
      </c>
      <c r="H8" s="591" t="s">
        <v>161</v>
      </c>
      <c r="I8" s="591"/>
      <c r="J8" s="588">
        <f>+G8*B8</f>
        <v>49.266000000000005</v>
      </c>
      <c r="K8" s="592" t="s">
        <v>143</v>
      </c>
      <c r="L8" s="112">
        <v>7</v>
      </c>
      <c r="M8" s="113" t="e">
        <f>+LOOKUP(L8,#REF!,#REF!)</f>
        <v>#REF!</v>
      </c>
      <c r="N8" s="113"/>
      <c r="O8" s="113"/>
      <c r="P8" s="118" t="e">
        <f>+(LOOKUP(L8,#REF!,#REF!))*B8</f>
        <v>#REF!</v>
      </c>
      <c r="Q8" s="118" t="e">
        <f>+(LOOKUP(L8,#REF!,#REF!))*B8</f>
        <v>#REF!</v>
      </c>
      <c r="R8" s="118" t="e">
        <f>+(LOOKUP(L8,#REF!,#REF!))*B8</f>
        <v>#REF!</v>
      </c>
      <c r="S8" s="118" t="e">
        <f>+(LOOKUP(L8,#REF!,#REF!))*B8</f>
        <v>#REF!</v>
      </c>
      <c r="T8" s="119" t="e">
        <f>+S7+R7+Q7+P7</f>
        <v>#REF!</v>
      </c>
    </row>
    <row r="9" spans="1:22" s="114" customFormat="1" ht="15">
      <c r="A9" s="110">
        <v>59</v>
      </c>
      <c r="B9" s="437">
        <v>1</v>
      </c>
      <c r="C9" s="188" t="str">
        <f>VLOOKUP(A9,'Costo Equipos'!$1:$1048576,2,0)</f>
        <v>Depósito de agua</v>
      </c>
      <c r="D9" s="593"/>
      <c r="E9" s="438">
        <f>VLOOKUP(A9,'Costo Equipos'!$1:$1048576,4,0)</f>
        <v>0</v>
      </c>
      <c r="F9" s="595" t="s">
        <v>142</v>
      </c>
      <c r="G9" s="440">
        <f>VLOOKUP(A9,'Costo Equipos'!$1:$1048576,14,0)</f>
        <v>12.316500000000001</v>
      </c>
      <c r="H9" s="591" t="s">
        <v>161</v>
      </c>
      <c r="I9" s="591"/>
      <c r="J9" s="645">
        <f>+G9*B9</f>
        <v>12.316500000000001</v>
      </c>
      <c r="K9" s="596" t="s">
        <v>143</v>
      </c>
      <c r="L9" s="112"/>
      <c r="M9" s="113"/>
      <c r="N9" s="113"/>
      <c r="O9" s="113"/>
      <c r="P9" s="124" t="e">
        <f>SUM(P7:P8)</f>
        <v>#REF!</v>
      </c>
      <c r="Q9" s="125" t="e">
        <f>SUM(Q7:Q8)</f>
        <v>#REF!</v>
      </c>
      <c r="R9" s="125" t="e">
        <f>SUM(R7:R8)</f>
        <v>#REF!</v>
      </c>
      <c r="S9" s="126" t="e">
        <f>SUM(S7:S8)</f>
        <v>#REF!</v>
      </c>
      <c r="T9" s="119" t="e">
        <f>+#REF!+#REF!+#REF!+#REF!</f>
        <v>#REF!</v>
      </c>
    </row>
    <row r="10" spans="1:22" s="114" customFormat="1" ht="15">
      <c r="A10" s="110"/>
      <c r="B10" s="597"/>
      <c r="C10" s="446"/>
      <c r="D10" s="585"/>
      <c r="E10" s="588">
        <f>SUMPRODUCT(B7:B9,E7:E9)</f>
        <v>80</v>
      </c>
      <c r="F10" s="594" t="s">
        <v>142</v>
      </c>
      <c r="G10" s="598"/>
      <c r="H10" s="587"/>
      <c r="I10" s="586"/>
      <c r="J10" s="588">
        <f>SUM(J7:J9)</f>
        <v>1095.3447941176473</v>
      </c>
      <c r="K10" s="592" t="s">
        <v>143</v>
      </c>
      <c r="L10" s="112"/>
      <c r="M10" s="113"/>
      <c r="N10" s="113"/>
      <c r="O10" s="113"/>
      <c r="P10" s="984" t="s">
        <v>1</v>
      </c>
      <c r="Q10" s="984"/>
      <c r="R10" s="984"/>
      <c r="S10" s="135" t="e">
        <f>+#REF!*D21/D11</f>
        <v>#REF!</v>
      </c>
    </row>
    <row r="11" spans="1:22" s="114" customFormat="1" ht="15">
      <c r="A11" s="110"/>
      <c r="B11" s="597"/>
      <c r="C11" s="446"/>
      <c r="D11" s="585"/>
      <c r="E11" s="588"/>
      <c r="F11" s="594"/>
      <c r="G11" s="598"/>
      <c r="H11" s="587"/>
      <c r="I11" s="586"/>
      <c r="J11" s="588"/>
      <c r="K11" s="592"/>
      <c r="L11" s="112"/>
      <c r="M11" s="113"/>
      <c r="N11" s="113"/>
      <c r="O11" s="138"/>
      <c r="P11" s="984" t="s">
        <v>152</v>
      </c>
      <c r="Q11" s="984"/>
      <c r="R11" s="984"/>
      <c r="S11" s="135"/>
    </row>
    <row r="12" spans="1:22" s="114" customFormat="1" ht="15">
      <c r="A12" s="110"/>
      <c r="B12" s="597"/>
      <c r="C12" s="599" t="s">
        <v>288</v>
      </c>
      <c r="D12" s="585"/>
      <c r="E12" s="588"/>
      <c r="F12" s="594"/>
      <c r="G12" s="598"/>
      <c r="H12" s="587"/>
      <c r="I12" s="586"/>
      <c r="J12" s="588"/>
      <c r="K12" s="592"/>
      <c r="L12" s="112"/>
      <c r="M12" s="113"/>
      <c r="N12" s="113"/>
      <c r="O12" s="113"/>
      <c r="S12" s="135" t="e">
        <f>+S10+#REF!+#REF!</f>
        <v>#REF!</v>
      </c>
    </row>
    <row r="13" spans="1:22" s="114" customFormat="1" ht="15">
      <c r="A13" s="110"/>
      <c r="B13" s="597"/>
      <c r="C13" s="599" t="s">
        <v>289</v>
      </c>
      <c r="D13" s="585"/>
      <c r="E13" s="588"/>
      <c r="F13" s="594"/>
      <c r="G13" s="598"/>
      <c r="H13" s="587"/>
      <c r="I13" s="586"/>
      <c r="J13" s="588"/>
      <c r="K13" s="592"/>
      <c r="L13" s="112"/>
      <c r="M13" s="113"/>
      <c r="N13" s="113"/>
      <c r="O13" s="113"/>
      <c r="S13" s="161"/>
    </row>
    <row r="14" spans="1:22" s="114" customFormat="1" ht="15">
      <c r="A14" s="110"/>
      <c r="B14" s="600"/>
      <c r="C14" s="601"/>
      <c r="D14" s="601"/>
      <c r="E14" s="602"/>
      <c r="F14" s="602"/>
      <c r="G14" s="603"/>
      <c r="H14" s="602"/>
      <c r="I14" s="603"/>
      <c r="J14" s="602"/>
      <c r="K14" s="604"/>
      <c r="L14" s="112"/>
      <c r="M14" s="113"/>
      <c r="N14" s="113"/>
      <c r="O14" s="113"/>
      <c r="S14" s="161"/>
    </row>
    <row r="15" spans="1:22" s="114" customFormat="1" ht="15">
      <c r="A15" s="110"/>
      <c r="B15" s="291" t="s">
        <v>145</v>
      </c>
      <c r="C15" s="446"/>
      <c r="D15" s="585"/>
      <c r="E15" s="586"/>
      <c r="F15" s="587"/>
      <c r="G15" s="586"/>
      <c r="H15" s="587"/>
      <c r="I15" s="586"/>
      <c r="J15" s="587"/>
      <c r="K15" s="589"/>
      <c r="L15" s="112"/>
      <c r="M15" s="113"/>
      <c r="N15" s="113"/>
      <c r="O15" s="113"/>
      <c r="S15" s="161"/>
    </row>
    <row r="16" spans="1:22" s="114" customFormat="1" ht="15">
      <c r="A16" s="110">
        <v>5</v>
      </c>
      <c r="B16" s="458">
        <v>1</v>
      </c>
      <c r="C16" s="188" t="str">
        <f>IF(A16=1,"Oficial Especializado",IF(A16=2,"Oficial",IF(A16=3,"Medio oficial",IF(A16=4,"Ayudante",IF(A16=5,"Maquinista",0)))))</f>
        <v>Maquinista</v>
      </c>
      <c r="D16" s="585"/>
      <c r="E16" s="594"/>
      <c r="F16" s="587">
        <f>+'Mano de Obra'!J47</f>
        <v>397.36</v>
      </c>
      <c r="G16" s="605" t="s">
        <v>146</v>
      </c>
      <c r="H16" s="588">
        <f t="shared" ref="H16:H18" si="0">F16*B16</f>
        <v>397.36</v>
      </c>
      <c r="I16" s="605" t="s">
        <v>143</v>
      </c>
      <c r="J16" s="587"/>
      <c r="K16" s="589"/>
      <c r="L16" s="112"/>
      <c r="M16" s="113"/>
      <c r="N16" s="113"/>
      <c r="O16" s="113"/>
      <c r="S16" s="161"/>
    </row>
    <row r="17" spans="1:19" s="114" customFormat="1" ht="15">
      <c r="A17" s="110">
        <v>2</v>
      </c>
      <c r="B17" s="458">
        <v>1</v>
      </c>
      <c r="C17" s="188" t="str">
        <f>IF(A17=1,"Oficial Especializado",IF(A17=2,"Oficial",IF(A17=3,"Medio oficial",IF(A17=4,"Ayudante",IF(A17=5,"Maquinista",0)))))</f>
        <v>Oficial</v>
      </c>
      <c r="D17" s="585"/>
      <c r="E17" s="594"/>
      <c r="F17" s="587">
        <f>'Mano de Obra'!F47</f>
        <v>397.36</v>
      </c>
      <c r="G17" s="605" t="s">
        <v>146</v>
      </c>
      <c r="H17" s="588">
        <f t="shared" si="0"/>
        <v>397.36</v>
      </c>
      <c r="I17" s="605" t="s">
        <v>143</v>
      </c>
      <c r="J17" s="587"/>
      <c r="K17" s="589"/>
      <c r="L17" s="112"/>
      <c r="M17" s="113"/>
      <c r="N17" s="113"/>
      <c r="O17" s="113"/>
      <c r="S17" s="161"/>
    </row>
    <row r="18" spans="1:19" s="114" customFormat="1" ht="15">
      <c r="A18" s="110">
        <v>4</v>
      </c>
      <c r="B18" s="458">
        <v>12</v>
      </c>
      <c r="C18" s="188" t="str">
        <f t="shared" ref="C18" si="1">IF(A18=1,"Oficial Especializado",IF(A18=2,"Oficial",IF(A18=3,"Medio oficial",IF(A18=4,"Ayudante",IF(A18=5,"Maquinista",0)))))</f>
        <v>Ayudante</v>
      </c>
      <c r="D18" s="585"/>
      <c r="E18" s="594"/>
      <c r="F18" s="587">
        <f>'Mano de Obra'!I47</f>
        <v>286.54000000000002</v>
      </c>
      <c r="G18" s="605" t="s">
        <v>146</v>
      </c>
      <c r="H18" s="645">
        <f t="shared" si="0"/>
        <v>3438.4800000000005</v>
      </c>
      <c r="I18" s="646" t="s">
        <v>143</v>
      </c>
      <c r="J18" s="647"/>
      <c r="K18" s="589"/>
      <c r="L18" s="112"/>
      <c r="M18" s="113"/>
      <c r="N18" s="113"/>
      <c r="O18" s="113"/>
      <c r="S18" s="161"/>
    </row>
    <row r="19" spans="1:19" s="114" customFormat="1" ht="15">
      <c r="A19" s="110"/>
      <c r="B19" s="597"/>
      <c r="C19" s="463"/>
      <c r="D19" s="607"/>
      <c r="E19" s="594"/>
      <c r="F19" s="588"/>
      <c r="G19" s="605"/>
      <c r="H19" s="588"/>
      <c r="I19" s="605" t="s">
        <v>155</v>
      </c>
      <c r="J19" s="588">
        <f>+SUM(H16:H18)</f>
        <v>4233.2000000000007</v>
      </c>
      <c r="K19" s="608" t="str">
        <f>+I18</f>
        <v>$/d</v>
      </c>
      <c r="L19" s="112"/>
      <c r="M19" s="113"/>
      <c r="N19" s="113"/>
      <c r="O19" s="113"/>
      <c r="P19" s="139"/>
      <c r="S19" s="140"/>
    </row>
    <row r="20" spans="1:19" s="114" customFormat="1" ht="15">
      <c r="A20" s="110"/>
      <c r="B20" s="597"/>
      <c r="C20" s="463"/>
      <c r="D20" s="607"/>
      <c r="E20" s="594"/>
      <c r="F20" s="588"/>
      <c r="G20" s="605"/>
      <c r="H20" s="588"/>
      <c r="I20" s="605"/>
      <c r="J20" s="588"/>
      <c r="K20" s="608"/>
      <c r="L20" s="112"/>
      <c r="M20" s="113"/>
      <c r="N20" s="113"/>
      <c r="O20" s="113"/>
      <c r="P20" s="139"/>
      <c r="S20" s="140"/>
    </row>
    <row r="21" spans="1:19" s="114" customFormat="1" ht="15.75" thickBot="1">
      <c r="A21" s="110"/>
      <c r="B21" s="609" t="s">
        <v>162</v>
      </c>
      <c r="C21" s="610"/>
      <c r="D21" s="611"/>
      <c r="E21" s="612"/>
      <c r="F21" s="613"/>
      <c r="G21" s="612"/>
      <c r="H21" s="613"/>
      <c r="I21" s="612"/>
      <c r="J21" s="614">
        <f>SUM(J10:J19)</f>
        <v>5328.5447941176481</v>
      </c>
      <c r="K21" s="615" t="s">
        <v>143</v>
      </c>
      <c r="L21" s="299"/>
      <c r="M21" s="293"/>
      <c r="N21" s="113"/>
      <c r="O21" s="113"/>
      <c r="P21" s="303"/>
      <c r="S21" s="110"/>
    </row>
    <row r="22" spans="1:19" s="122" customFormat="1" ht="15.75" thickTop="1">
      <c r="A22" s="129"/>
      <c r="B22" s="616"/>
      <c r="C22" s="617"/>
      <c r="D22" s="618"/>
      <c r="E22" s="619"/>
      <c r="F22" s="620"/>
      <c r="G22" s="619"/>
      <c r="H22" s="620"/>
      <c r="I22" s="619"/>
      <c r="J22" s="621"/>
      <c r="K22" s="622"/>
      <c r="L22" s="300"/>
      <c r="M22" s="301"/>
      <c r="N22" s="128"/>
      <c r="O22" s="128"/>
      <c r="P22" s="149"/>
      <c r="S22" s="129"/>
    </row>
    <row r="23" spans="1:19">
      <c r="B23" s="292" t="s">
        <v>150</v>
      </c>
      <c r="C23" s="446"/>
      <c r="D23" s="623">
        <v>60</v>
      </c>
      <c r="E23" s="594" t="s">
        <v>290</v>
      </c>
      <c r="F23" s="587"/>
      <c r="G23" s="586"/>
      <c r="H23" s="587"/>
      <c r="I23" s="586"/>
      <c r="J23" s="587"/>
      <c r="K23" s="589"/>
    </row>
    <row r="24" spans="1:19">
      <c r="B24" s="606" t="s">
        <v>291</v>
      </c>
      <c r="C24" s="446"/>
      <c r="D24" s="624">
        <f>J21</f>
        <v>5328.5447941176481</v>
      </c>
      <c r="E24" s="594" t="s">
        <v>154</v>
      </c>
      <c r="F24" s="625">
        <f>D23</f>
        <v>60</v>
      </c>
      <c r="G24" s="594" t="str">
        <f>E23</f>
        <v>m3/d</v>
      </c>
      <c r="H24" s="605" t="s">
        <v>155</v>
      </c>
      <c r="I24" s="591"/>
      <c r="J24" s="588">
        <f>+D24/F24</f>
        <v>88.8090799019608</v>
      </c>
      <c r="K24" s="608" t="s">
        <v>206</v>
      </c>
      <c r="P24" s="302"/>
    </row>
    <row r="25" spans="1:19">
      <c r="B25" s="291" t="s">
        <v>165</v>
      </c>
      <c r="C25" s="446"/>
      <c r="D25" s="624"/>
      <c r="E25" s="594"/>
      <c r="F25" s="594"/>
      <c r="G25" s="594"/>
      <c r="H25" s="594"/>
      <c r="I25" s="591"/>
      <c r="J25" s="626"/>
      <c r="K25" s="627"/>
    </row>
    <row r="26" spans="1:19">
      <c r="B26" s="628">
        <v>83</v>
      </c>
      <c r="C26" s="629" t="s">
        <v>303</v>
      </c>
      <c r="D26" s="633"/>
      <c r="E26" s="630"/>
      <c r="F26" s="630"/>
      <c r="G26" s="630"/>
      <c r="H26" s="630"/>
      <c r="I26" s="631"/>
      <c r="J26" s="630"/>
      <c r="K26" s="632"/>
    </row>
    <row r="27" spans="1:19">
      <c r="B27" s="628"/>
      <c r="C27" s="629"/>
      <c r="D27" s="634" t="s">
        <v>292</v>
      </c>
      <c r="E27" s="630"/>
      <c r="F27" s="630">
        <v>5</v>
      </c>
      <c r="G27" s="630" t="s">
        <v>293</v>
      </c>
      <c r="H27" s="630"/>
      <c r="I27" s="631"/>
      <c r="J27" s="630"/>
      <c r="K27" s="632"/>
    </row>
    <row r="28" spans="1:19">
      <c r="B28" s="628"/>
      <c r="C28" s="629"/>
      <c r="D28" s="634" t="s">
        <v>294</v>
      </c>
      <c r="E28" s="630"/>
      <c r="F28" s="630">
        <v>7</v>
      </c>
      <c r="G28" s="630" t="s">
        <v>293</v>
      </c>
      <c r="H28" s="630"/>
      <c r="I28" s="631"/>
      <c r="J28" s="630"/>
      <c r="K28" s="632"/>
    </row>
    <row r="29" spans="1:19">
      <c r="B29" s="628"/>
      <c r="C29" s="629"/>
      <c r="D29" s="634" t="s">
        <v>295</v>
      </c>
      <c r="E29" s="630"/>
      <c r="F29" s="648">
        <f>+'AUX  AC Materiales'!I40</f>
        <v>1327.0647483577538</v>
      </c>
      <c r="G29" s="630" t="s">
        <v>296</v>
      </c>
      <c r="H29" s="630"/>
      <c r="I29" s="631"/>
      <c r="J29" s="630"/>
      <c r="K29" s="632"/>
    </row>
    <row r="30" spans="1:19">
      <c r="B30" s="628"/>
      <c r="C30" s="629"/>
      <c r="D30" s="634" t="s">
        <v>297</v>
      </c>
      <c r="E30" s="630"/>
      <c r="F30" s="630">
        <f>+F29/F28</f>
        <v>189.58067833682199</v>
      </c>
      <c r="G30" s="630" t="s">
        <v>86</v>
      </c>
      <c r="H30" s="630"/>
      <c r="I30" s="631"/>
      <c r="J30" s="630"/>
      <c r="K30" s="632"/>
    </row>
    <row r="31" spans="1:19">
      <c r="B31" s="628"/>
      <c r="C31" s="629"/>
      <c r="D31" s="634" t="s">
        <v>298</v>
      </c>
      <c r="E31" s="630"/>
      <c r="F31" s="630">
        <v>1.5</v>
      </c>
      <c r="G31" s="630" t="s">
        <v>299</v>
      </c>
      <c r="H31" s="630"/>
      <c r="I31" s="631"/>
      <c r="J31" s="630"/>
      <c r="K31" s="632"/>
    </row>
    <row r="32" spans="1:19">
      <c r="B32" s="628"/>
      <c r="C32" s="629"/>
      <c r="D32" s="634" t="s">
        <v>300</v>
      </c>
      <c r="E32" s="630"/>
      <c r="F32" s="630">
        <f>1/F31</f>
        <v>0.66666666666666663</v>
      </c>
      <c r="G32" s="630" t="s">
        <v>301</v>
      </c>
      <c r="H32" s="630"/>
      <c r="I32" s="631"/>
      <c r="J32" s="630"/>
      <c r="K32" s="632"/>
    </row>
    <row r="33" spans="2:11" ht="14.25">
      <c r="B33" s="628">
        <v>83</v>
      </c>
      <c r="C33" s="629"/>
      <c r="D33" s="630">
        <f>+F32</f>
        <v>0.66666666666666663</v>
      </c>
      <c r="E33" s="630" t="s">
        <v>367</v>
      </c>
      <c r="F33" s="630" t="s">
        <v>159</v>
      </c>
      <c r="G33" s="630">
        <f>+F30</f>
        <v>189.58067833682199</v>
      </c>
      <c r="H33" s="661" t="s">
        <v>86</v>
      </c>
      <c r="I33" s="631" t="s">
        <v>155</v>
      </c>
      <c r="J33" s="630">
        <f>+D33*G33</f>
        <v>126.38711889121466</v>
      </c>
      <c r="K33" s="828" t="s">
        <v>365</v>
      </c>
    </row>
    <row r="34" spans="2:11">
      <c r="B34" s="628"/>
      <c r="C34" s="629" t="s">
        <v>195</v>
      </c>
      <c r="D34" s="486">
        <v>1.05</v>
      </c>
      <c r="E34" s="478" t="s">
        <v>188</v>
      </c>
      <c r="F34" s="478" t="s">
        <v>159</v>
      </c>
      <c r="G34" s="486">
        <f>+'AUX Suelo'!J27</f>
        <v>27.83</v>
      </c>
      <c r="H34" s="488" t="s">
        <v>91</v>
      </c>
      <c r="I34" s="478" t="s">
        <v>155</v>
      </c>
      <c r="J34" s="478">
        <f>+G34*D34</f>
        <v>29.221499999999999</v>
      </c>
      <c r="K34" s="489" t="s">
        <v>91</v>
      </c>
    </row>
    <row r="35" spans="2:11" ht="15">
      <c r="B35" s="628"/>
      <c r="C35" s="629" t="s">
        <v>285</v>
      </c>
      <c r="D35" s="826">
        <f>+D34*0.05</f>
        <v>5.2500000000000005E-2</v>
      </c>
      <c r="E35" s="478" t="s">
        <v>364</v>
      </c>
      <c r="F35" s="478" t="s">
        <v>159</v>
      </c>
      <c r="G35" s="486">
        <f>+'AUX  AC Materiales'!I13</f>
        <v>577.48957875000008</v>
      </c>
      <c r="H35" s="488" t="s">
        <v>171</v>
      </c>
      <c r="I35" s="478" t="s">
        <v>155</v>
      </c>
      <c r="J35" s="698">
        <f>+D35*G35</f>
        <v>30.318202884375008</v>
      </c>
      <c r="K35" s="699" t="s">
        <v>366</v>
      </c>
    </row>
    <row r="36" spans="2:11" ht="15">
      <c r="B36" s="291"/>
      <c r="C36" s="446"/>
      <c r="D36" s="624"/>
      <c r="E36" s="594"/>
      <c r="F36" s="594"/>
      <c r="G36" s="594"/>
      <c r="H36" s="594"/>
      <c r="I36" s="591"/>
      <c r="J36" s="635">
        <f>+SUM(J33:J35)</f>
        <v>185.92682177558967</v>
      </c>
      <c r="K36" s="829" t="s">
        <v>366</v>
      </c>
    </row>
    <row r="37" spans="2:11">
      <c r="B37" s="606"/>
      <c r="C37" s="446"/>
      <c r="D37" s="624"/>
      <c r="E37" s="594"/>
      <c r="F37" s="625"/>
      <c r="G37" s="594"/>
      <c r="H37" s="594"/>
      <c r="I37" s="591"/>
      <c r="J37" s="588"/>
      <c r="K37" s="608"/>
    </row>
    <row r="38" spans="2:11">
      <c r="B38" s="291" t="s">
        <v>179</v>
      </c>
      <c r="C38" s="446"/>
      <c r="D38" s="624"/>
      <c r="E38" s="594"/>
      <c r="F38" s="594"/>
      <c r="G38" s="594"/>
      <c r="H38" s="594"/>
      <c r="I38" s="591"/>
      <c r="J38" s="626">
        <f>+J36+J24</f>
        <v>274.73590167755049</v>
      </c>
      <c r="K38" s="627" t="str">
        <f>K24</f>
        <v>$/m3</v>
      </c>
    </row>
    <row r="39" spans="2:11">
      <c r="B39" s="600"/>
      <c r="C39" s="446"/>
      <c r="D39" s="636"/>
      <c r="E39" s="594"/>
      <c r="F39" s="594"/>
      <c r="G39" s="594"/>
      <c r="H39" s="594"/>
      <c r="I39" s="588"/>
      <c r="J39" s="605"/>
      <c r="K39" s="637"/>
    </row>
    <row r="40" spans="2:11" ht="14.25" thickBot="1">
      <c r="B40" s="159" t="s">
        <v>228</v>
      </c>
      <c r="C40" s="266"/>
      <c r="D40" s="638"/>
      <c r="E40" s="639">
        <f>+'Coeficiente Resumen'!D19</f>
        <v>1.6619999999999999</v>
      </c>
      <c r="F40" s="640" t="s">
        <v>159</v>
      </c>
      <c r="G40" s="640">
        <f>+J38</f>
        <v>274.73590167755049</v>
      </c>
      <c r="H40" s="640" t="str">
        <f>K24</f>
        <v>$/m3</v>
      </c>
      <c r="I40" s="640" t="s">
        <v>155</v>
      </c>
      <c r="J40" s="641">
        <f>+E40*G40</f>
        <v>456.61106858808887</v>
      </c>
      <c r="K40" s="642" t="str">
        <f>+K24</f>
        <v>$/m3</v>
      </c>
    </row>
    <row r="41" spans="2:11" ht="17.25" thickTop="1" thickBot="1">
      <c r="B41" s="643"/>
      <c r="C41" s="997" t="s">
        <v>160</v>
      </c>
      <c r="D41" s="997"/>
      <c r="E41" s="990">
        <f>ROUND(+J40,2)</f>
        <v>456.61</v>
      </c>
      <c r="F41" s="990"/>
      <c r="G41" s="998" t="str">
        <f>+K40</f>
        <v>$/m3</v>
      </c>
      <c r="H41" s="998"/>
      <c r="I41" s="998"/>
      <c r="J41" s="268"/>
      <c r="K41" s="269"/>
    </row>
    <row r="42" spans="2:11" ht="14.25" thickTop="1"/>
  </sheetData>
  <mergeCells count="7">
    <mergeCell ref="B2:K2"/>
    <mergeCell ref="B5:K5"/>
    <mergeCell ref="P10:R10"/>
    <mergeCell ref="P11:R11"/>
    <mergeCell ref="C41:D41"/>
    <mergeCell ref="E41:F41"/>
    <mergeCell ref="G41:I41"/>
  </mergeCells>
  <dataValidations count="1">
    <dataValidation allowBlank="1" sqref="E7:E9 G7:G9 C7:C9"/>
  </dataValidations>
  <hyperlinks>
    <hyperlink ref="V5" location="'Pres-geob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ignoredErrors>
    <ignoredError sqref="J34" formula="1"/>
  </ignoredErrors>
  <legacy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V42"/>
  <sheetViews>
    <sheetView showGridLines="0" view="pageBreakPreview" topLeftCell="A19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6.140625" style="289" customWidth="1"/>
    <col min="3" max="3" width="27.7109375" style="289" customWidth="1"/>
    <col min="4" max="4" width="8.42578125" style="295" customWidth="1"/>
    <col min="5" max="5" width="7.85546875" style="289" customWidth="1"/>
    <col min="6" max="6" width="8.5703125" style="289" customWidth="1"/>
    <col min="7" max="7" width="9.140625" style="289" bestFit="1" customWidth="1"/>
    <col min="8" max="8" width="8.28515625" style="289" customWidth="1"/>
    <col min="9" max="9" width="3.28515625" style="289" customWidth="1"/>
    <col min="10" max="10" width="8.85546875" style="153" customWidth="1"/>
    <col min="11" max="11" width="6.2851562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22.5" thickTop="1" thickBot="1">
      <c r="A5" s="107"/>
      <c r="B5" s="994" t="s">
        <v>371</v>
      </c>
      <c r="C5" s="995"/>
      <c r="D5" s="995"/>
      <c r="E5" s="995"/>
      <c r="F5" s="995"/>
      <c r="G5" s="995"/>
      <c r="H5" s="995"/>
      <c r="I5" s="995"/>
      <c r="J5" s="995"/>
      <c r="K5" s="996"/>
      <c r="L5" s="107"/>
      <c r="S5" s="107"/>
      <c r="V5" s="305" t="s">
        <v>2</v>
      </c>
    </row>
    <row r="6" spans="1:22" s="114" customFormat="1" ht="15.75" thickTop="1">
      <c r="A6" s="110"/>
      <c r="B6" s="291" t="s">
        <v>133</v>
      </c>
      <c r="C6" s="446"/>
      <c r="D6" s="585"/>
      <c r="E6" s="586"/>
      <c r="F6" s="587"/>
      <c r="G6" s="588"/>
      <c r="H6" s="587"/>
      <c r="I6" s="586"/>
      <c r="J6" s="587"/>
      <c r="K6" s="589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305" t="s">
        <v>141</v>
      </c>
    </row>
    <row r="7" spans="1:22" s="114" customFormat="1" ht="15">
      <c r="A7" s="110">
        <v>74</v>
      </c>
      <c r="B7" s="437">
        <v>1</v>
      </c>
      <c r="C7" s="188" t="str">
        <f>VLOOKUP(A7,'Costo Equipos'!$1:$1048576,2,0)</f>
        <v>Cargador frontal CASE</v>
      </c>
      <c r="D7" s="590"/>
      <c r="E7" s="438">
        <f>VLOOKUP(A7,'Costo Equipos'!$1:$1048576,4,0)</f>
        <v>80</v>
      </c>
      <c r="F7" s="439" t="s">
        <v>142</v>
      </c>
      <c r="G7" s="440">
        <f>VLOOKUP(A7,'Costo Equipos'!$1:$1048576,14,0)</f>
        <v>1033.7622941176473</v>
      </c>
      <c r="H7" s="591" t="s">
        <v>161</v>
      </c>
      <c r="I7" s="442"/>
      <c r="J7" s="441">
        <f>+B7*G7</f>
        <v>1033.7622941176473</v>
      </c>
      <c r="K7" s="592" t="s">
        <v>143</v>
      </c>
      <c r="L7" s="112">
        <v>13</v>
      </c>
      <c r="M7" s="113" t="e">
        <f>+LOOKUP(L7,#REF!,#REF!)</f>
        <v>#REF!</v>
      </c>
      <c r="N7" s="113" t="s">
        <v>144</v>
      </c>
      <c r="O7" s="113"/>
      <c r="P7" s="118" t="e">
        <f>+(LOOKUP(L7,#REF!,#REF!))*B7</f>
        <v>#REF!</v>
      </c>
      <c r="Q7" s="118" t="e">
        <f>+(LOOKUP(L7,#REF!,#REF!))*B7</f>
        <v>#REF!</v>
      </c>
      <c r="R7" s="118" t="e">
        <f>+(LOOKUP(L7,#REF!,#REF!))*B7</f>
        <v>#REF!</v>
      </c>
      <c r="S7" s="118" t="e">
        <f>+(LOOKUP(L7,#REF!,#REF!))*B7</f>
        <v>#REF!</v>
      </c>
      <c r="T7" s="119" t="e">
        <f>+#REF!+#REF!+#REF!+#REF!</f>
        <v>#REF!</v>
      </c>
    </row>
    <row r="8" spans="1:22" s="114" customFormat="1" ht="15">
      <c r="A8" s="110">
        <v>44</v>
      </c>
      <c r="B8" s="437">
        <v>2</v>
      </c>
      <c r="C8" s="188" t="str">
        <f>VLOOKUP(A8,'Costo Equipos'!$1:$1048576,2,0)</f>
        <v>Herramientas menores</v>
      </c>
      <c r="D8" s="593"/>
      <c r="E8" s="438">
        <f>VLOOKUP(A8,'Costo Equipos'!$1:$1048576,4,0)</f>
        <v>0</v>
      </c>
      <c r="F8" s="594" t="s">
        <v>142</v>
      </c>
      <c r="G8" s="440">
        <f>VLOOKUP(A8,'Costo Equipos'!$1:$1048576,14,0)</f>
        <v>24.633000000000003</v>
      </c>
      <c r="H8" s="591" t="s">
        <v>161</v>
      </c>
      <c r="I8" s="591"/>
      <c r="J8" s="588">
        <f>+G8*B8</f>
        <v>49.266000000000005</v>
      </c>
      <c r="K8" s="592" t="s">
        <v>143</v>
      </c>
      <c r="L8" s="112">
        <v>7</v>
      </c>
      <c r="M8" s="113" t="e">
        <f>+LOOKUP(L8,#REF!,#REF!)</f>
        <v>#REF!</v>
      </c>
      <c r="N8" s="113"/>
      <c r="O8" s="113"/>
      <c r="P8" s="118" t="e">
        <f>+(LOOKUP(L8,#REF!,#REF!))*B8</f>
        <v>#REF!</v>
      </c>
      <c r="Q8" s="118" t="e">
        <f>+(LOOKUP(L8,#REF!,#REF!))*B8</f>
        <v>#REF!</v>
      </c>
      <c r="R8" s="118" t="e">
        <f>+(LOOKUP(L8,#REF!,#REF!))*B8</f>
        <v>#REF!</v>
      </c>
      <c r="S8" s="118" t="e">
        <f>+(LOOKUP(L8,#REF!,#REF!))*B8</f>
        <v>#REF!</v>
      </c>
      <c r="T8" s="119" t="e">
        <f>+S7+R7+Q7+P7</f>
        <v>#REF!</v>
      </c>
    </row>
    <row r="9" spans="1:22" s="114" customFormat="1" ht="15">
      <c r="A9" s="110">
        <v>59</v>
      </c>
      <c r="B9" s="437">
        <v>1</v>
      </c>
      <c r="C9" s="188" t="str">
        <f>VLOOKUP(A9,'Costo Equipos'!$1:$1048576,2,0)</f>
        <v>Depósito de agua</v>
      </c>
      <c r="D9" s="593"/>
      <c r="E9" s="438">
        <f>VLOOKUP(A9,'Costo Equipos'!$1:$1048576,4,0)</f>
        <v>0</v>
      </c>
      <c r="F9" s="595" t="s">
        <v>142</v>
      </c>
      <c r="G9" s="440">
        <f>VLOOKUP(A9,'Costo Equipos'!$1:$1048576,14,0)</f>
        <v>12.316500000000001</v>
      </c>
      <c r="H9" s="591" t="s">
        <v>161</v>
      </c>
      <c r="I9" s="591"/>
      <c r="J9" s="645">
        <f>+G9*B9</f>
        <v>12.316500000000001</v>
      </c>
      <c r="K9" s="596" t="s">
        <v>143</v>
      </c>
      <c r="L9" s="112"/>
      <c r="M9" s="113"/>
      <c r="N9" s="113"/>
      <c r="O9" s="113"/>
      <c r="P9" s="124" t="e">
        <f>SUM(P7:P8)</f>
        <v>#REF!</v>
      </c>
      <c r="Q9" s="125" t="e">
        <f>SUM(Q7:Q8)</f>
        <v>#REF!</v>
      </c>
      <c r="R9" s="125" t="e">
        <f>SUM(R7:R8)</f>
        <v>#REF!</v>
      </c>
      <c r="S9" s="126" t="e">
        <f>SUM(S7:S8)</f>
        <v>#REF!</v>
      </c>
      <c r="T9" s="119" t="e">
        <f>+#REF!+#REF!+#REF!+#REF!</f>
        <v>#REF!</v>
      </c>
    </row>
    <row r="10" spans="1:22" s="114" customFormat="1" ht="15">
      <c r="A10" s="110"/>
      <c r="B10" s="597"/>
      <c r="C10" s="446"/>
      <c r="D10" s="585"/>
      <c r="E10" s="588">
        <f>SUMPRODUCT(B7:B9,E7:E9)</f>
        <v>80</v>
      </c>
      <c r="F10" s="594" t="s">
        <v>142</v>
      </c>
      <c r="G10" s="598"/>
      <c r="H10" s="587"/>
      <c r="I10" s="586"/>
      <c r="J10" s="588">
        <f>SUM(J7:J9)</f>
        <v>1095.3447941176473</v>
      </c>
      <c r="K10" s="592" t="s">
        <v>143</v>
      </c>
      <c r="L10" s="112"/>
      <c r="M10" s="113"/>
      <c r="N10" s="113"/>
      <c r="O10" s="113"/>
      <c r="P10" s="984" t="s">
        <v>1</v>
      </c>
      <c r="Q10" s="984"/>
      <c r="R10" s="984"/>
      <c r="S10" s="135" t="e">
        <f>+#REF!*D21/D11</f>
        <v>#REF!</v>
      </c>
    </row>
    <row r="11" spans="1:22" s="114" customFormat="1" ht="15">
      <c r="A11" s="110"/>
      <c r="B11" s="597"/>
      <c r="C11" s="446"/>
      <c r="D11" s="585"/>
      <c r="E11" s="588"/>
      <c r="F11" s="594"/>
      <c r="G11" s="598"/>
      <c r="H11" s="587"/>
      <c r="I11" s="586"/>
      <c r="J11" s="588"/>
      <c r="K11" s="592"/>
      <c r="L11" s="112"/>
      <c r="M11" s="113"/>
      <c r="N11" s="113"/>
      <c r="O11" s="138"/>
      <c r="P11" s="984" t="s">
        <v>152</v>
      </c>
      <c r="Q11" s="984"/>
      <c r="R11" s="984"/>
      <c r="S11" s="135"/>
    </row>
    <row r="12" spans="1:22" s="114" customFormat="1" ht="15">
      <c r="A12" s="110"/>
      <c r="B12" s="597"/>
      <c r="C12" s="599" t="s">
        <v>288</v>
      </c>
      <c r="D12" s="585"/>
      <c r="E12" s="588"/>
      <c r="F12" s="594"/>
      <c r="G12" s="598"/>
      <c r="H12" s="587"/>
      <c r="I12" s="586"/>
      <c r="J12" s="588"/>
      <c r="K12" s="592"/>
      <c r="L12" s="112"/>
      <c r="M12" s="113"/>
      <c r="N12" s="113"/>
      <c r="O12" s="113"/>
      <c r="S12" s="135" t="e">
        <f>+S10+#REF!+#REF!</f>
        <v>#REF!</v>
      </c>
    </row>
    <row r="13" spans="1:22" s="114" customFormat="1" ht="15">
      <c r="A13" s="110"/>
      <c r="B13" s="597"/>
      <c r="C13" s="599" t="s">
        <v>289</v>
      </c>
      <c r="D13" s="585"/>
      <c r="E13" s="588"/>
      <c r="F13" s="594"/>
      <c r="G13" s="598"/>
      <c r="H13" s="587"/>
      <c r="I13" s="586"/>
      <c r="J13" s="588"/>
      <c r="K13" s="592"/>
      <c r="L13" s="112"/>
      <c r="M13" s="113"/>
      <c r="N13" s="113"/>
      <c r="O13" s="113"/>
      <c r="S13" s="161"/>
    </row>
    <row r="14" spans="1:22" s="114" customFormat="1" ht="15">
      <c r="A14" s="110"/>
      <c r="B14" s="600"/>
      <c r="C14" s="601"/>
      <c r="D14" s="601"/>
      <c r="E14" s="602"/>
      <c r="F14" s="602"/>
      <c r="G14" s="603"/>
      <c r="H14" s="602"/>
      <c r="I14" s="603"/>
      <c r="J14" s="602"/>
      <c r="K14" s="604"/>
      <c r="L14" s="112"/>
      <c r="M14" s="113"/>
      <c r="N14" s="113"/>
      <c r="O14" s="113"/>
      <c r="S14" s="161"/>
    </row>
    <row r="15" spans="1:22" s="114" customFormat="1" ht="15">
      <c r="A15" s="110"/>
      <c r="B15" s="291" t="s">
        <v>145</v>
      </c>
      <c r="C15" s="446"/>
      <c r="D15" s="585"/>
      <c r="E15" s="586"/>
      <c r="F15" s="587"/>
      <c r="G15" s="586"/>
      <c r="H15" s="587"/>
      <c r="I15" s="586"/>
      <c r="J15" s="587"/>
      <c r="K15" s="589"/>
      <c r="L15" s="112"/>
      <c r="M15" s="113"/>
      <c r="N15" s="113"/>
      <c r="O15" s="113"/>
      <c r="S15" s="161"/>
    </row>
    <row r="16" spans="1:22" s="114" customFormat="1" ht="15">
      <c r="A16" s="110">
        <v>5</v>
      </c>
      <c r="B16" s="458">
        <v>1</v>
      </c>
      <c r="C16" s="188" t="str">
        <f>IF(A16=1,"Oficial Especializado",IF(A16=2,"Oficial",IF(A16=3,"Medio oficial",IF(A16=4,"Ayudante",IF(A16=5,"Maquinista",0)))))</f>
        <v>Maquinista</v>
      </c>
      <c r="D16" s="585"/>
      <c r="E16" s="594"/>
      <c r="F16" s="587">
        <f>+'Mano de Obra'!J47</f>
        <v>397.36</v>
      </c>
      <c r="G16" s="605" t="s">
        <v>146</v>
      </c>
      <c r="H16" s="588">
        <f t="shared" ref="H16:H18" si="0">F16*B16</f>
        <v>397.36</v>
      </c>
      <c r="I16" s="605" t="s">
        <v>143</v>
      </c>
      <c r="J16" s="587"/>
      <c r="K16" s="589"/>
      <c r="L16" s="112"/>
      <c r="M16" s="113"/>
      <c r="N16" s="113"/>
      <c r="O16" s="113"/>
      <c r="S16" s="161"/>
    </row>
    <row r="17" spans="1:19" s="114" customFormat="1" ht="15">
      <c r="A17" s="110">
        <v>2</v>
      </c>
      <c r="B17" s="458">
        <v>1</v>
      </c>
      <c r="C17" s="188" t="str">
        <f>IF(A17=1,"Oficial Especializado",IF(A17=2,"Oficial",IF(A17=3,"Medio oficial",IF(A17=4,"Ayudante",IF(A17=5,"Maquinista",0)))))</f>
        <v>Oficial</v>
      </c>
      <c r="D17" s="585"/>
      <c r="E17" s="594"/>
      <c r="F17" s="587">
        <f>'Mano de Obra'!F47</f>
        <v>397.36</v>
      </c>
      <c r="G17" s="605" t="s">
        <v>146</v>
      </c>
      <c r="H17" s="588">
        <f t="shared" si="0"/>
        <v>397.36</v>
      </c>
      <c r="I17" s="605" t="s">
        <v>143</v>
      </c>
      <c r="J17" s="587"/>
      <c r="K17" s="589"/>
      <c r="L17" s="112"/>
      <c r="M17" s="113"/>
      <c r="N17" s="113"/>
      <c r="O17" s="113"/>
      <c r="S17" s="161"/>
    </row>
    <row r="18" spans="1:19" s="114" customFormat="1" ht="15">
      <c r="A18" s="110">
        <v>4</v>
      </c>
      <c r="B18" s="458">
        <v>12</v>
      </c>
      <c r="C18" s="188" t="str">
        <f t="shared" ref="C18" si="1">IF(A18=1,"Oficial Especializado",IF(A18=2,"Oficial",IF(A18=3,"Medio oficial",IF(A18=4,"Ayudante",IF(A18=5,"Maquinista",0)))))</f>
        <v>Ayudante</v>
      </c>
      <c r="D18" s="585"/>
      <c r="E18" s="594"/>
      <c r="F18" s="587">
        <f>'Mano de Obra'!I47</f>
        <v>286.54000000000002</v>
      </c>
      <c r="G18" s="605" t="s">
        <v>146</v>
      </c>
      <c r="H18" s="645">
        <f t="shared" si="0"/>
        <v>3438.4800000000005</v>
      </c>
      <c r="I18" s="646" t="s">
        <v>143</v>
      </c>
      <c r="J18" s="647"/>
      <c r="K18" s="589"/>
      <c r="L18" s="112"/>
      <c r="M18" s="113"/>
      <c r="N18" s="113"/>
      <c r="O18" s="113"/>
      <c r="S18" s="161"/>
    </row>
    <row r="19" spans="1:19" s="114" customFormat="1" ht="15">
      <c r="A19" s="110"/>
      <c r="B19" s="597"/>
      <c r="C19" s="463"/>
      <c r="D19" s="607"/>
      <c r="E19" s="594"/>
      <c r="F19" s="588"/>
      <c r="G19" s="605"/>
      <c r="H19" s="588"/>
      <c r="I19" s="605" t="s">
        <v>155</v>
      </c>
      <c r="J19" s="588">
        <f>+SUM(H16:H18)</f>
        <v>4233.2000000000007</v>
      </c>
      <c r="K19" s="608" t="str">
        <f>+I18</f>
        <v>$/d</v>
      </c>
      <c r="L19" s="112"/>
      <c r="M19" s="113"/>
      <c r="N19" s="113"/>
      <c r="O19" s="113"/>
      <c r="P19" s="139"/>
      <c r="S19" s="140"/>
    </row>
    <row r="20" spans="1:19" s="114" customFormat="1" ht="15">
      <c r="A20" s="110"/>
      <c r="B20" s="597"/>
      <c r="C20" s="463"/>
      <c r="D20" s="607"/>
      <c r="E20" s="594"/>
      <c r="F20" s="588"/>
      <c r="G20" s="605"/>
      <c r="H20" s="588"/>
      <c r="I20" s="605"/>
      <c r="J20" s="588"/>
      <c r="K20" s="608"/>
      <c r="L20" s="112"/>
      <c r="M20" s="113"/>
      <c r="N20" s="113"/>
      <c r="O20" s="113"/>
      <c r="P20" s="139"/>
      <c r="S20" s="140"/>
    </row>
    <row r="21" spans="1:19" s="114" customFormat="1" ht="15.75" thickBot="1">
      <c r="A21" s="110"/>
      <c r="B21" s="609" t="s">
        <v>162</v>
      </c>
      <c r="C21" s="610"/>
      <c r="D21" s="611"/>
      <c r="E21" s="612"/>
      <c r="F21" s="613"/>
      <c r="G21" s="612"/>
      <c r="H21" s="613"/>
      <c r="I21" s="612"/>
      <c r="J21" s="614">
        <f>SUM(J10:J19)</f>
        <v>5328.5447941176481</v>
      </c>
      <c r="K21" s="615" t="s">
        <v>143</v>
      </c>
      <c r="L21" s="299"/>
      <c r="M21" s="293"/>
      <c r="N21" s="113"/>
      <c r="O21" s="113"/>
      <c r="P21" s="303"/>
      <c r="S21" s="110"/>
    </row>
    <row r="22" spans="1:19" s="122" customFormat="1" ht="15.75" thickTop="1">
      <c r="A22" s="129"/>
      <c r="B22" s="760"/>
      <c r="C22" s="617"/>
      <c r="D22" s="618"/>
      <c r="E22" s="619"/>
      <c r="F22" s="620"/>
      <c r="G22" s="619"/>
      <c r="H22" s="620"/>
      <c r="I22" s="619"/>
      <c r="J22" s="621"/>
      <c r="K22" s="761"/>
      <c r="L22" s="300"/>
      <c r="M22" s="301"/>
      <c r="N22" s="128"/>
      <c r="O22" s="128"/>
      <c r="P22" s="149"/>
      <c r="S22" s="129"/>
    </row>
    <row r="23" spans="1:19">
      <c r="B23" s="292" t="s">
        <v>150</v>
      </c>
      <c r="C23" s="446"/>
      <c r="D23" s="623">
        <v>60</v>
      </c>
      <c r="E23" s="594" t="s">
        <v>290</v>
      </c>
      <c r="F23" s="587"/>
      <c r="G23" s="586"/>
      <c r="H23" s="587"/>
      <c r="I23" s="586"/>
      <c r="J23" s="587"/>
      <c r="K23" s="589"/>
    </row>
    <row r="24" spans="1:19">
      <c r="B24" s="606" t="s">
        <v>291</v>
      </c>
      <c r="C24" s="446"/>
      <c r="D24" s="624">
        <f>J21</f>
        <v>5328.5447941176481</v>
      </c>
      <c r="E24" s="594" t="s">
        <v>154</v>
      </c>
      <c r="F24" s="625">
        <f>D23</f>
        <v>60</v>
      </c>
      <c r="G24" s="594" t="str">
        <f>E23</f>
        <v>m3/d</v>
      </c>
      <c r="H24" s="605" t="s">
        <v>155</v>
      </c>
      <c r="I24" s="591"/>
      <c r="J24" s="588">
        <f>+D24/F24</f>
        <v>88.8090799019608</v>
      </c>
      <c r="K24" s="608" t="s">
        <v>206</v>
      </c>
      <c r="P24" s="302"/>
    </row>
    <row r="25" spans="1:19">
      <c r="B25" s="291" t="s">
        <v>165</v>
      </c>
      <c r="C25" s="446"/>
      <c r="D25" s="624"/>
      <c r="E25" s="594"/>
      <c r="F25" s="594"/>
      <c r="G25" s="594"/>
      <c r="H25" s="594"/>
      <c r="I25" s="591"/>
      <c r="J25" s="626"/>
      <c r="K25" s="627"/>
    </row>
    <row r="26" spans="1:19">
      <c r="B26" s="628">
        <v>83</v>
      </c>
      <c r="C26" s="629" t="s">
        <v>303</v>
      </c>
      <c r="D26" s="633"/>
      <c r="E26" s="630"/>
      <c r="F26" s="630"/>
      <c r="G26" s="630"/>
      <c r="H26" s="630"/>
      <c r="I26" s="631"/>
      <c r="J26" s="630"/>
      <c r="K26" s="632"/>
    </row>
    <row r="27" spans="1:19">
      <c r="B27" s="628"/>
      <c r="C27" s="629"/>
      <c r="D27" s="634" t="s">
        <v>292</v>
      </c>
      <c r="E27" s="630"/>
      <c r="F27" s="630">
        <v>7.23</v>
      </c>
      <c r="G27" s="630" t="s">
        <v>293</v>
      </c>
      <c r="H27" s="630"/>
      <c r="I27" s="631"/>
      <c r="J27" s="630"/>
      <c r="K27" s="632"/>
    </row>
    <row r="28" spans="1:19">
      <c r="B28" s="628"/>
      <c r="C28" s="629"/>
      <c r="D28" s="634" t="s">
        <v>294</v>
      </c>
      <c r="E28" s="630"/>
      <c r="F28" s="630">
        <v>13.7</v>
      </c>
      <c r="G28" s="630" t="s">
        <v>293</v>
      </c>
      <c r="H28" s="630"/>
      <c r="I28" s="631"/>
      <c r="J28" s="630"/>
      <c r="K28" s="632"/>
    </row>
    <row r="29" spans="1:19">
      <c r="B29" s="628"/>
      <c r="C29" s="629"/>
      <c r="D29" s="634" t="s">
        <v>295</v>
      </c>
      <c r="E29" s="630"/>
      <c r="F29" s="648">
        <f>+'AUX  AC Materiales'!I33</f>
        <v>3746.0729698800001</v>
      </c>
      <c r="G29" s="630" t="s">
        <v>296</v>
      </c>
      <c r="H29" s="630"/>
      <c r="I29" s="631"/>
      <c r="J29" s="630"/>
      <c r="K29" s="632"/>
    </row>
    <row r="30" spans="1:19">
      <c r="B30" s="628"/>
      <c r="C30" s="629"/>
      <c r="D30" s="634" t="s">
        <v>297</v>
      </c>
      <c r="E30" s="630"/>
      <c r="F30" s="630">
        <f>+F29/F28</f>
        <v>273.43598320291972</v>
      </c>
      <c r="G30" s="630" t="s">
        <v>86</v>
      </c>
      <c r="H30" s="630"/>
      <c r="I30" s="631"/>
      <c r="J30" s="630"/>
      <c r="K30" s="632"/>
    </row>
    <row r="31" spans="1:19">
      <c r="B31" s="628"/>
      <c r="C31" s="629"/>
      <c r="D31" s="634" t="s">
        <v>298</v>
      </c>
      <c r="E31" s="630"/>
      <c r="F31" s="630">
        <v>3.06</v>
      </c>
      <c r="G31" s="630" t="s">
        <v>299</v>
      </c>
      <c r="H31" s="630"/>
      <c r="I31" s="631"/>
      <c r="J31" s="630"/>
      <c r="K31" s="632"/>
    </row>
    <row r="32" spans="1:19">
      <c r="B32" s="628"/>
      <c r="C32" s="629"/>
      <c r="D32" s="634" t="s">
        <v>300</v>
      </c>
      <c r="E32" s="630"/>
      <c r="F32" s="630">
        <f>1/F31</f>
        <v>0.32679738562091504</v>
      </c>
      <c r="G32" s="630" t="s">
        <v>301</v>
      </c>
      <c r="H32" s="630"/>
      <c r="I32" s="631"/>
      <c r="J32" s="630"/>
      <c r="K32" s="632"/>
    </row>
    <row r="33" spans="2:11" ht="14.25">
      <c r="B33" s="628">
        <v>83</v>
      </c>
      <c r="C33" s="629"/>
      <c r="D33" s="630">
        <f>+F32</f>
        <v>0.32679738562091504</v>
      </c>
      <c r="E33" s="630" t="s">
        <v>301</v>
      </c>
      <c r="F33" s="630" t="s">
        <v>159</v>
      </c>
      <c r="G33" s="630">
        <f>+F30</f>
        <v>273.43598320291972</v>
      </c>
      <c r="H33" s="661" t="s">
        <v>86</v>
      </c>
      <c r="I33" s="631" t="s">
        <v>155</v>
      </c>
      <c r="J33" s="630">
        <f>+D33*G33</f>
        <v>89.3581644453986</v>
      </c>
      <c r="K33" s="828" t="s">
        <v>365</v>
      </c>
    </row>
    <row r="34" spans="2:11">
      <c r="B34" s="628"/>
      <c r="C34" s="629" t="s">
        <v>195</v>
      </c>
      <c r="D34" s="486">
        <v>1.05</v>
      </c>
      <c r="E34" s="478" t="s">
        <v>188</v>
      </c>
      <c r="F34" s="478" t="s">
        <v>159</v>
      </c>
      <c r="G34" s="486">
        <f>+'AUX Suelo'!J27</f>
        <v>27.83</v>
      </c>
      <c r="H34" s="488" t="s">
        <v>91</v>
      </c>
      <c r="I34" s="478" t="s">
        <v>155</v>
      </c>
      <c r="J34" s="478">
        <f>+G34*D34</f>
        <v>29.221499999999999</v>
      </c>
      <c r="K34" s="489" t="s">
        <v>91</v>
      </c>
    </row>
    <row r="35" spans="2:11" ht="15">
      <c r="B35" s="628"/>
      <c r="C35" s="629" t="s">
        <v>285</v>
      </c>
      <c r="D35" s="826">
        <f>+D34*0.05</f>
        <v>5.2500000000000005E-2</v>
      </c>
      <c r="E35" s="478" t="s">
        <v>364</v>
      </c>
      <c r="F35" s="478" t="s">
        <v>159</v>
      </c>
      <c r="G35" s="486">
        <f>+'AUX  AC Materiales'!I13</f>
        <v>577.48957875000008</v>
      </c>
      <c r="H35" s="488" t="s">
        <v>171</v>
      </c>
      <c r="I35" s="478" t="s">
        <v>155</v>
      </c>
      <c r="J35" s="698">
        <f>+D35*G35</f>
        <v>30.318202884375008</v>
      </c>
      <c r="K35" s="699" t="s">
        <v>91</v>
      </c>
    </row>
    <row r="36" spans="2:11">
      <c r="B36" s="291"/>
      <c r="C36" s="446"/>
      <c r="D36" s="624"/>
      <c r="E36" s="594"/>
      <c r="F36" s="594"/>
      <c r="G36" s="594"/>
      <c r="H36" s="594"/>
      <c r="I36" s="591"/>
      <c r="J36" s="635">
        <f>+SUM(J33:J35)</f>
        <v>148.89786732977362</v>
      </c>
      <c r="K36" s="489" t="s">
        <v>91</v>
      </c>
    </row>
    <row r="37" spans="2:11">
      <c r="B37" s="606"/>
      <c r="C37" s="446"/>
      <c r="D37" s="624"/>
      <c r="E37" s="594"/>
      <c r="F37" s="625"/>
      <c r="G37" s="594"/>
      <c r="H37" s="594"/>
      <c r="I37" s="591"/>
      <c r="J37" s="588"/>
      <c r="K37" s="608"/>
    </row>
    <row r="38" spans="2:11">
      <c r="B38" s="291" t="s">
        <v>179</v>
      </c>
      <c r="C38" s="446"/>
      <c r="D38" s="624"/>
      <c r="E38" s="594"/>
      <c r="F38" s="594"/>
      <c r="G38" s="594"/>
      <c r="H38" s="594"/>
      <c r="I38" s="591"/>
      <c r="J38" s="626">
        <f>+J36+J24</f>
        <v>237.70694723173443</v>
      </c>
      <c r="K38" s="627" t="str">
        <f>K24</f>
        <v>$/m3</v>
      </c>
    </row>
    <row r="39" spans="2:11">
      <c r="B39" s="600"/>
      <c r="C39" s="446"/>
      <c r="D39" s="636"/>
      <c r="E39" s="594"/>
      <c r="F39" s="594"/>
      <c r="G39" s="594"/>
      <c r="H39" s="594"/>
      <c r="I39" s="588"/>
      <c r="J39" s="605"/>
      <c r="K39" s="637"/>
    </row>
    <row r="40" spans="2:11" ht="14.25" thickBot="1">
      <c r="B40" s="159" t="s">
        <v>228</v>
      </c>
      <c r="C40" s="266"/>
      <c r="D40" s="638"/>
      <c r="E40" s="639">
        <f>+'Coeficiente Resumen'!D19</f>
        <v>1.6619999999999999</v>
      </c>
      <c r="F40" s="640" t="s">
        <v>159</v>
      </c>
      <c r="G40" s="640">
        <f>+J38</f>
        <v>237.70694723173443</v>
      </c>
      <c r="H40" s="640" t="str">
        <f>K24</f>
        <v>$/m3</v>
      </c>
      <c r="I40" s="640" t="s">
        <v>155</v>
      </c>
      <c r="J40" s="641">
        <f>+E40*G40</f>
        <v>395.06894629914262</v>
      </c>
      <c r="K40" s="642" t="str">
        <f>+K24</f>
        <v>$/m3</v>
      </c>
    </row>
    <row r="41" spans="2:11" ht="17.25" thickTop="1" thickBot="1">
      <c r="B41" s="643"/>
      <c r="C41" s="997" t="s">
        <v>160</v>
      </c>
      <c r="D41" s="997"/>
      <c r="E41" s="990">
        <f>ROUND(+J40,2)</f>
        <v>395.07</v>
      </c>
      <c r="F41" s="990"/>
      <c r="G41" s="998" t="str">
        <f>+K40</f>
        <v>$/m3</v>
      </c>
      <c r="H41" s="998"/>
      <c r="I41" s="998"/>
      <c r="J41" s="268"/>
      <c r="K41" s="269"/>
    </row>
    <row r="42" spans="2:11" ht="14.25" thickTop="1"/>
  </sheetData>
  <mergeCells count="7">
    <mergeCell ref="P10:R10"/>
    <mergeCell ref="P11:R11"/>
    <mergeCell ref="B2:K2"/>
    <mergeCell ref="G41:I41"/>
    <mergeCell ref="C41:D41"/>
    <mergeCell ref="E41:F41"/>
    <mergeCell ref="B5:K5"/>
  </mergeCells>
  <dataValidations disablePrompts="1" count="1">
    <dataValidation allowBlank="1" sqref="E7:E9 G7:G9 C7:C9"/>
  </dataValidations>
  <hyperlinks>
    <hyperlink ref="V5" location="'Pres-geob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U39"/>
  <sheetViews>
    <sheetView showGridLines="0" view="pageBreakPreview" topLeftCell="A13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3.5703125" style="289" customWidth="1"/>
    <col min="3" max="3" width="22.7109375" style="289" customWidth="1"/>
    <col min="4" max="4" width="16.42578125" style="295" customWidth="1"/>
    <col min="5" max="5" width="10.140625" style="289" bestFit="1" customWidth="1"/>
    <col min="6" max="6" width="10.7109375" style="289" customWidth="1"/>
    <col min="7" max="7" width="8.140625" style="289" bestFit="1" customWidth="1"/>
    <col min="8" max="8" width="11.7109375" style="289" bestFit="1" customWidth="1"/>
    <col min="9" max="9" width="6.5703125" style="289" bestFit="1" customWidth="1"/>
    <col min="10" max="10" width="7.28515625" style="153" customWidth="1"/>
    <col min="11" max="11" width="11" style="295" hidden="1" customWidth="1"/>
    <col min="12" max="12" width="18.85546875" style="289" hidden="1" customWidth="1"/>
    <col min="13" max="17" width="11" style="289" hidden="1" customWidth="1"/>
    <col min="18" max="18" width="12.28515625" style="295" hidden="1" customWidth="1"/>
    <col min="19" max="19" width="0" style="289" hidden="1" customWidth="1"/>
    <col min="20" max="16384" width="11" style="289"/>
  </cols>
  <sheetData>
    <row r="1" spans="1:21" s="264" customFormat="1">
      <c r="B1" s="5"/>
      <c r="C1" s="5"/>
      <c r="G1" s="704"/>
      <c r="H1" s="8"/>
      <c r="I1" s="8"/>
    </row>
    <row r="2" spans="1:21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1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</row>
    <row r="4" spans="1:21" s="742" customFormat="1" ht="16.5" customHeight="1" thickBot="1">
      <c r="B4" s="774"/>
      <c r="C4" s="774"/>
      <c r="D4" s="774"/>
      <c r="E4" s="774"/>
      <c r="F4" s="774"/>
      <c r="G4" s="774"/>
      <c r="H4" s="774"/>
      <c r="I4" s="774"/>
      <c r="J4" s="774"/>
    </row>
    <row r="5" spans="1:21" s="108" customFormat="1" ht="19.5" thickTop="1" thickBot="1">
      <c r="A5" s="107"/>
      <c r="B5" s="1001" t="s">
        <v>249</v>
      </c>
      <c r="C5" s="1002"/>
      <c r="D5" s="1002"/>
      <c r="E5" s="1002"/>
      <c r="F5" s="1002"/>
      <c r="G5" s="1002"/>
      <c r="H5" s="1002"/>
      <c r="I5" s="1003"/>
      <c r="J5" s="783"/>
      <c r="K5" s="107"/>
      <c r="R5" s="107"/>
      <c r="U5" s="305" t="s">
        <v>2</v>
      </c>
    </row>
    <row r="6" spans="1:21" s="114" customFormat="1" ht="15.75" thickTop="1">
      <c r="A6" s="110"/>
      <c r="B6" s="784" t="s">
        <v>133</v>
      </c>
      <c r="C6" s="785"/>
      <c r="D6" s="786"/>
      <c r="E6" s="787"/>
      <c r="F6" s="788"/>
      <c r="G6" s="789"/>
      <c r="H6" s="788"/>
      <c r="I6" s="790"/>
      <c r="J6" s="652"/>
      <c r="K6" s="112"/>
      <c r="L6" s="113"/>
      <c r="M6" s="113"/>
      <c r="N6" s="113"/>
      <c r="O6" s="110" t="s">
        <v>137</v>
      </c>
      <c r="P6" s="110" t="s">
        <v>138</v>
      </c>
      <c r="Q6" s="110" t="s">
        <v>139</v>
      </c>
      <c r="R6" s="110" t="s">
        <v>140</v>
      </c>
      <c r="U6" s="305" t="s">
        <v>141</v>
      </c>
    </row>
    <row r="7" spans="1:21" s="114" customFormat="1" ht="15">
      <c r="A7" s="110">
        <v>42</v>
      </c>
      <c r="B7" s="751">
        <v>1</v>
      </c>
      <c r="C7" s="188" t="str">
        <f>VLOOKUP(A7,'Costo Equipos'!$1:$1048576,2,0)</f>
        <v>Camioneta</v>
      </c>
      <c r="D7" s="438">
        <f>VLOOKUP(A7,'Costo Equipos'!$1:$1048576,4,0)</f>
        <v>90</v>
      </c>
      <c r="E7" s="630" t="s">
        <v>142</v>
      </c>
      <c r="F7" s="655" t="s">
        <v>304</v>
      </c>
      <c r="G7" s="656"/>
      <c r="H7" s="677">
        <f>+'Costo Equipos'!I16</f>
        <v>150000</v>
      </c>
      <c r="I7" s="752"/>
      <c r="J7" s="653"/>
      <c r="K7" s="112">
        <v>13</v>
      </c>
      <c r="L7" s="113" t="e">
        <f>+LOOKUP(K7,#REF!,#REF!)</f>
        <v>#REF!</v>
      </c>
      <c r="M7" s="113" t="s">
        <v>144</v>
      </c>
      <c r="N7" s="113"/>
      <c r="O7" s="118" t="e">
        <f>+(LOOKUP(K7,#REF!,#REF!))*B7</f>
        <v>#REF!</v>
      </c>
      <c r="P7" s="118" t="e">
        <f>+(LOOKUP(K7,#REF!,#REF!))*B7</f>
        <v>#REF!</v>
      </c>
      <c r="Q7" s="118" t="e">
        <f>+(LOOKUP(K7,#REF!,#REF!))*B7</f>
        <v>#REF!</v>
      </c>
      <c r="R7" s="118" t="e">
        <f>+(LOOKUP(K7,#REF!,#REF!))*B7</f>
        <v>#REF!</v>
      </c>
      <c r="S7" s="119" t="e">
        <f>+#REF!+#REF!+#REF!+#REF!</f>
        <v>#REF!</v>
      </c>
    </row>
    <row r="8" spans="1:21" s="114" customFormat="1" ht="15">
      <c r="A8" s="110"/>
      <c r="B8" s="753"/>
      <c r="C8" s="657"/>
      <c r="D8" s="658"/>
      <c r="E8" s="630"/>
      <c r="F8" s="659"/>
      <c r="G8" s="656"/>
      <c r="H8" s="656"/>
      <c r="I8" s="791"/>
      <c r="J8" s="754"/>
      <c r="K8" s="112"/>
      <c r="L8" s="113"/>
      <c r="M8" s="113"/>
      <c r="N8" s="113"/>
      <c r="O8" s="124" t="e">
        <f>SUM(O7:O7)</f>
        <v>#REF!</v>
      </c>
      <c r="P8" s="125" t="e">
        <f>SUM(P7:P7)</f>
        <v>#REF!</v>
      </c>
      <c r="Q8" s="125" t="e">
        <f>SUM(Q7:Q7)</f>
        <v>#REF!</v>
      </c>
      <c r="R8" s="126" t="e">
        <f>SUM(R7:R7)</f>
        <v>#REF!</v>
      </c>
      <c r="S8" s="119" t="e">
        <f>+#REF!+#REF!+#REF!+#REF!</f>
        <v>#REF!</v>
      </c>
    </row>
    <row r="9" spans="1:21" s="114" customFormat="1" ht="15">
      <c r="A9" s="110"/>
      <c r="B9" s="755"/>
      <c r="C9" s="649" t="s">
        <v>305</v>
      </c>
      <c r="D9" s="650">
        <v>4500</v>
      </c>
      <c r="E9" s="651" t="s">
        <v>306</v>
      </c>
      <c r="F9" s="652"/>
      <c r="G9" s="651"/>
      <c r="H9" s="652"/>
      <c r="I9" s="792"/>
      <c r="J9" s="652"/>
      <c r="K9" s="112"/>
      <c r="M9" s="113"/>
      <c r="N9" s="113"/>
      <c r="O9" s="119"/>
      <c r="R9" s="110"/>
      <c r="S9" s="296" t="e">
        <f>SUM(S7:S8)</f>
        <v>#REF!</v>
      </c>
    </row>
    <row r="10" spans="1:21" s="114" customFormat="1" ht="15">
      <c r="A10" s="110"/>
      <c r="B10" s="756"/>
      <c r="C10" s="654"/>
      <c r="D10" s="660"/>
      <c r="E10" s="653"/>
      <c r="F10" s="661"/>
      <c r="G10" s="653"/>
      <c r="H10" s="661"/>
      <c r="I10" s="793"/>
      <c r="J10" s="653"/>
      <c r="K10" s="112"/>
      <c r="L10" s="298"/>
      <c r="M10" s="297"/>
      <c r="N10" s="113"/>
      <c r="O10" s="326"/>
      <c r="P10" s="326"/>
      <c r="Q10" s="326"/>
      <c r="R10" s="135"/>
    </row>
    <row r="11" spans="1:21" s="114" customFormat="1" ht="15">
      <c r="A11" s="110"/>
      <c r="B11" s="751"/>
      <c r="C11" s="663" t="s">
        <v>307</v>
      </c>
      <c r="D11" s="664">
        <v>300000</v>
      </c>
      <c r="E11" s="665" t="s">
        <v>308</v>
      </c>
      <c r="F11" s="652" t="s">
        <v>155</v>
      </c>
      <c r="G11" s="122"/>
      <c r="H11" s="651">
        <f>+D11/D12</f>
        <v>66.666666666666671</v>
      </c>
      <c r="I11" s="794" t="s">
        <v>309</v>
      </c>
      <c r="J11" s="666"/>
      <c r="K11" s="112"/>
      <c r="L11" s="113"/>
      <c r="M11" s="113"/>
      <c r="N11" s="113"/>
      <c r="O11" s="984" t="s">
        <v>1</v>
      </c>
      <c r="P11" s="984"/>
      <c r="Q11" s="984"/>
      <c r="R11" s="135" t="e">
        <f>+#REF!*D17/#REF!</f>
        <v>#REF!</v>
      </c>
    </row>
    <row r="12" spans="1:21" s="114" customFormat="1" ht="15">
      <c r="A12" s="110"/>
      <c r="B12" s="751"/>
      <c r="C12" s="663"/>
      <c r="D12" s="650">
        <v>4500</v>
      </c>
      <c r="E12" s="651" t="str">
        <f>+E9</f>
        <v>km/mes</v>
      </c>
      <c r="F12" s="652"/>
      <c r="G12" s="122"/>
      <c r="H12" s="651"/>
      <c r="I12" s="794"/>
      <c r="J12" s="666"/>
      <c r="K12" s="112"/>
      <c r="L12" s="113"/>
      <c r="M12" s="113"/>
      <c r="N12" s="113"/>
      <c r="O12" s="297"/>
      <c r="P12" s="297"/>
      <c r="Q12" s="297"/>
      <c r="R12" s="378"/>
    </row>
    <row r="13" spans="1:21" s="114" customFormat="1" ht="15">
      <c r="A13" s="110"/>
      <c r="B13" s="751"/>
      <c r="C13" s="663"/>
      <c r="D13" s="650"/>
      <c r="E13" s="651"/>
      <c r="F13" s="652"/>
      <c r="G13" s="122"/>
      <c r="H13" s="651"/>
      <c r="I13" s="794"/>
      <c r="J13" s="666"/>
      <c r="K13" s="112"/>
      <c r="L13" s="113"/>
      <c r="M13" s="113"/>
      <c r="N13" s="113"/>
      <c r="R13" s="135" t="e">
        <f>+R11+#REF!+#REF!</f>
        <v>#REF!</v>
      </c>
    </row>
    <row r="14" spans="1:21" s="114" customFormat="1" ht="15">
      <c r="A14" s="110"/>
      <c r="B14" s="757"/>
      <c r="C14" s="663" t="s">
        <v>310</v>
      </c>
      <c r="D14" s="999" t="str">
        <f>"$ "&amp;$H$7&amp; " x 80 % "</f>
        <v xml:space="preserve">$ 150000 x 80 % </v>
      </c>
      <c r="E14" s="999"/>
      <c r="F14" s="652" t="s">
        <v>155</v>
      </c>
      <c r="G14" s="122"/>
      <c r="H14" s="651">
        <f>H7*0.8/D15</f>
        <v>1600</v>
      </c>
      <c r="I14" s="794" t="s">
        <v>255</v>
      </c>
      <c r="J14" s="652"/>
      <c r="K14" s="112"/>
      <c r="L14" s="113"/>
      <c r="M14" s="113"/>
      <c r="N14" s="113"/>
      <c r="R14" s="161"/>
    </row>
    <row r="15" spans="1:21" s="114" customFormat="1" ht="15">
      <c r="A15" s="110"/>
      <c r="B15" s="757"/>
      <c r="C15" s="663"/>
      <c r="D15" s="667">
        <v>75</v>
      </c>
      <c r="E15" s="630" t="s">
        <v>309</v>
      </c>
      <c r="F15" s="652"/>
      <c r="G15" s="122"/>
      <c r="H15" s="651"/>
      <c r="I15" s="794"/>
      <c r="J15" s="652"/>
      <c r="O15" s="139"/>
      <c r="R15" s="110"/>
    </row>
    <row r="16" spans="1:21" s="114" customFormat="1" ht="15">
      <c r="A16" s="110"/>
      <c r="B16" s="757"/>
      <c r="C16" s="758"/>
      <c r="D16" s="662"/>
      <c r="E16" s="662"/>
      <c r="F16" s="662"/>
      <c r="G16" s="122"/>
      <c r="H16" s="662"/>
      <c r="I16" s="793"/>
      <c r="J16" s="652"/>
      <c r="K16" s="112"/>
      <c r="L16" s="113"/>
      <c r="M16" s="113"/>
      <c r="N16" s="113"/>
      <c r="O16" s="139"/>
      <c r="R16" s="140"/>
    </row>
    <row r="17" spans="1:18" s="114" customFormat="1" ht="15">
      <c r="A17" s="110"/>
      <c r="B17" s="757"/>
      <c r="C17" s="668" t="s">
        <v>311</v>
      </c>
      <c r="D17" s="1000" t="str">
        <f>"$ "&amp;$H$7&amp; " x 7 % "</f>
        <v xml:space="preserve">$ 150000 x 7 % </v>
      </c>
      <c r="E17" s="1000"/>
      <c r="F17" s="669" t="s">
        <v>155</v>
      </c>
      <c r="G17" s="122"/>
      <c r="H17" s="670">
        <f>+H7*0.07/24</f>
        <v>437.50000000000006</v>
      </c>
      <c r="I17" s="795" t="s">
        <v>255</v>
      </c>
      <c r="J17" s="652"/>
      <c r="K17" s="299"/>
      <c r="L17" s="293"/>
      <c r="M17" s="113"/>
      <c r="N17" s="113"/>
      <c r="O17" s="303"/>
      <c r="R17" s="110"/>
    </row>
    <row r="18" spans="1:18" s="122" customFormat="1" ht="15">
      <c r="A18" s="129"/>
      <c r="B18" s="757"/>
      <c r="C18" s="672"/>
      <c r="D18" s="668" t="s">
        <v>312</v>
      </c>
      <c r="E18" s="671" t="s">
        <v>313</v>
      </c>
      <c r="F18" s="671"/>
      <c r="H18" s="671"/>
      <c r="I18" s="795"/>
      <c r="J18" s="652"/>
      <c r="K18" s="300"/>
      <c r="L18" s="301"/>
      <c r="M18" s="128"/>
      <c r="N18" s="128"/>
      <c r="O18" s="149"/>
      <c r="R18" s="129"/>
    </row>
    <row r="19" spans="1:18">
      <c r="B19" s="757"/>
      <c r="C19" s="668"/>
      <c r="D19" s="673"/>
      <c r="E19" s="671"/>
      <c r="F19" s="674"/>
      <c r="G19" s="294"/>
      <c r="H19" s="671"/>
      <c r="I19" s="795"/>
      <c r="J19" s="652"/>
    </row>
    <row r="20" spans="1:18">
      <c r="B20" s="757"/>
      <c r="C20" s="668" t="s">
        <v>314</v>
      </c>
      <c r="D20" s="1000" t="str">
        <f>"$ "&amp;$H$7&amp; " x 10 % "</f>
        <v xml:space="preserve">$ 150000 x 10 % </v>
      </c>
      <c r="E20" s="1000"/>
      <c r="F20" s="669" t="s">
        <v>155</v>
      </c>
      <c r="G20" s="294"/>
      <c r="H20" s="670">
        <f>+$H$7*0.1/D21</f>
        <v>1250</v>
      </c>
      <c r="I20" s="795" t="s">
        <v>255</v>
      </c>
      <c r="J20" s="652"/>
      <c r="O20" s="302"/>
    </row>
    <row r="21" spans="1:18">
      <c r="B21" s="757"/>
      <c r="C21" s="672"/>
      <c r="D21" s="668">
        <v>12</v>
      </c>
      <c r="E21" s="671" t="s">
        <v>313</v>
      </c>
      <c r="F21" s="671"/>
      <c r="G21" s="294"/>
      <c r="H21" s="671"/>
      <c r="I21" s="795"/>
      <c r="J21" s="652"/>
    </row>
    <row r="22" spans="1:18">
      <c r="B22" s="757"/>
      <c r="C22" s="668"/>
      <c r="D22" s="671"/>
      <c r="E22" s="671"/>
      <c r="F22" s="674"/>
      <c r="G22" s="294"/>
      <c r="H22" s="671"/>
      <c r="I22" s="795"/>
      <c r="J22" s="652"/>
      <c r="O22" s="302"/>
    </row>
    <row r="23" spans="1:18">
      <c r="B23" s="757"/>
      <c r="C23" s="668" t="s">
        <v>315</v>
      </c>
      <c r="D23" s="1000" t="str">
        <f>"$ "&amp;$H$7&amp; " x 1 % "</f>
        <v xml:space="preserve">$ 150000 x 1 % </v>
      </c>
      <c r="E23" s="1000"/>
      <c r="F23" s="669" t="s">
        <v>155</v>
      </c>
      <c r="G23" s="294"/>
      <c r="H23" s="670">
        <f>+$H$7*0.01/D24</f>
        <v>125</v>
      </c>
      <c r="I23" s="795" t="s">
        <v>255</v>
      </c>
      <c r="J23" s="652"/>
    </row>
    <row r="24" spans="1:18">
      <c r="B24" s="757"/>
      <c r="C24" s="675"/>
      <c r="D24" s="668">
        <v>12</v>
      </c>
      <c r="E24" s="671" t="s">
        <v>313</v>
      </c>
      <c r="F24" s="671"/>
      <c r="G24" s="671"/>
      <c r="H24" s="671"/>
      <c r="I24" s="792"/>
      <c r="J24" s="652"/>
    </row>
    <row r="25" spans="1:18">
      <c r="B25" s="757"/>
      <c r="C25" s="675"/>
      <c r="D25" s="668"/>
      <c r="E25" s="671"/>
      <c r="F25" s="671"/>
      <c r="G25" s="671"/>
      <c r="H25" s="671"/>
      <c r="I25" s="792"/>
      <c r="J25" s="652"/>
    </row>
    <row r="26" spans="1:18">
      <c r="B26" s="757"/>
      <c r="C26" s="675"/>
      <c r="D26" s="668"/>
      <c r="E26" s="671"/>
      <c r="F26" s="671"/>
      <c r="G26" s="671"/>
      <c r="H26" s="671"/>
      <c r="I26" s="792"/>
      <c r="J26" s="652"/>
    </row>
    <row r="27" spans="1:18">
      <c r="B27" s="757"/>
      <c r="C27" s="668" t="s">
        <v>340</v>
      </c>
      <c r="D27" s="1008" t="s">
        <v>350</v>
      </c>
      <c r="E27" s="1008"/>
      <c r="F27" s="673">
        <f>+'Análisis Equipos'!C11</f>
        <v>4.46</v>
      </c>
      <c r="G27" s="671" t="s">
        <v>341</v>
      </c>
      <c r="H27" s="671">
        <f>0.1*4500*F27</f>
        <v>2007</v>
      </c>
      <c r="I27" s="795" t="s">
        <v>255</v>
      </c>
      <c r="J27" s="652"/>
    </row>
    <row r="28" spans="1:18">
      <c r="B28" s="757"/>
      <c r="C28" s="675"/>
      <c r="D28" s="668"/>
      <c r="E28" s="670"/>
      <c r="F28" s="671"/>
      <c r="G28" s="671"/>
      <c r="H28" s="671"/>
      <c r="I28" s="792"/>
      <c r="J28" s="652"/>
    </row>
    <row r="29" spans="1:18">
      <c r="B29" s="757"/>
      <c r="C29" s="668" t="s">
        <v>342</v>
      </c>
      <c r="D29" s="1009" t="s">
        <v>351</v>
      </c>
      <c r="E29" s="1009"/>
      <c r="F29" s="775">
        <v>0.23</v>
      </c>
      <c r="G29" s="671" t="s">
        <v>344</v>
      </c>
      <c r="H29" s="671">
        <f>0.3*4500*F29</f>
        <v>310.5</v>
      </c>
      <c r="I29" s="795" t="s">
        <v>255</v>
      </c>
      <c r="J29" s="652"/>
    </row>
    <row r="30" spans="1:18">
      <c r="B30" s="757"/>
      <c r="C30" s="668"/>
      <c r="D30" s="777"/>
      <c r="E30" s="671"/>
      <c r="F30" s="671"/>
      <c r="G30" s="671"/>
      <c r="H30" s="671"/>
      <c r="I30" s="792"/>
      <c r="J30" s="652"/>
    </row>
    <row r="31" spans="1:18">
      <c r="B31" s="757"/>
      <c r="C31" s="668" t="s">
        <v>345</v>
      </c>
      <c r="D31" s="777">
        <v>0.5</v>
      </c>
      <c r="E31" s="676" t="s">
        <v>343</v>
      </c>
      <c r="F31" s="673">
        <f>+H14</f>
        <v>1600</v>
      </c>
      <c r="G31" s="671" t="s">
        <v>346</v>
      </c>
      <c r="H31" s="776">
        <f>+D31*F31</f>
        <v>800</v>
      </c>
      <c r="I31" s="796" t="s">
        <v>255</v>
      </c>
      <c r="J31" s="652"/>
    </row>
    <row r="32" spans="1:18">
      <c r="B32" s="757"/>
      <c r="C32" s="775" t="s">
        <v>347</v>
      </c>
      <c r="D32" s="777"/>
      <c r="E32" s="671"/>
      <c r="F32" s="671"/>
      <c r="G32" s="671"/>
      <c r="H32" s="294"/>
      <c r="I32" s="797"/>
      <c r="J32" s="294"/>
    </row>
    <row r="33" spans="2:10">
      <c r="B33" s="757"/>
      <c r="C33" s="775"/>
      <c r="D33" s="777"/>
      <c r="E33" s="671"/>
      <c r="F33" s="671"/>
      <c r="G33" s="671"/>
      <c r="H33" s="294"/>
      <c r="I33" s="797"/>
      <c r="J33" s="294"/>
    </row>
    <row r="34" spans="2:10">
      <c r="B34" s="757" t="s">
        <v>349</v>
      </c>
      <c r="C34" s="775"/>
      <c r="D34" s="777"/>
      <c r="E34" s="671"/>
      <c r="F34" s="671"/>
      <c r="G34" s="671"/>
      <c r="H34" s="779">
        <f>+SUM(H14:H31)</f>
        <v>6530</v>
      </c>
      <c r="I34" s="798" t="s">
        <v>255</v>
      </c>
      <c r="J34" s="780"/>
    </row>
    <row r="35" spans="2:10">
      <c r="B35" s="757"/>
      <c r="C35" s="668"/>
      <c r="D35" s="676"/>
      <c r="E35" s="676"/>
      <c r="F35" s="652"/>
      <c r="G35" s="651"/>
      <c r="H35" s="652"/>
      <c r="I35" s="792"/>
      <c r="J35" s="652"/>
    </row>
    <row r="36" spans="2:10">
      <c r="B36" s="755" t="s">
        <v>316</v>
      </c>
      <c r="C36" s="662"/>
      <c r="D36" s="806">
        <f>+'Coeficiente Resumen'!D19</f>
        <v>1.6619999999999999</v>
      </c>
      <c r="E36" s="676" t="s">
        <v>348</v>
      </c>
      <c r="F36" s="778">
        <f>+H34</f>
        <v>6530</v>
      </c>
      <c r="G36" s="799" t="s">
        <v>346</v>
      </c>
      <c r="H36" s="674">
        <f>+D36*F36</f>
        <v>10852.859999999999</v>
      </c>
      <c r="I36" s="795" t="s">
        <v>255</v>
      </c>
      <c r="J36" s="652"/>
    </row>
    <row r="37" spans="2:10" ht="14.25" thickBot="1">
      <c r="B37" s="759"/>
      <c r="C37" s="800"/>
      <c r="D37" s="801"/>
      <c r="E37" s="801"/>
      <c r="F37" s="802"/>
      <c r="G37" s="803"/>
      <c r="H37" s="803"/>
      <c r="I37" s="804"/>
      <c r="J37" s="666"/>
    </row>
    <row r="38" spans="2:10" ht="18.75" customHeight="1" thickTop="1" thickBot="1">
      <c r="B38" s="805"/>
      <c r="C38" s="1004" t="s">
        <v>160</v>
      </c>
      <c r="D38" s="1004"/>
      <c r="E38" s="1005">
        <f>+H36</f>
        <v>10852.859999999999</v>
      </c>
      <c r="F38" s="1005"/>
      <c r="G38" s="1006" t="str">
        <f>+I36</f>
        <v>$/mes</v>
      </c>
      <c r="H38" s="1006"/>
      <c r="I38" s="1007"/>
      <c r="J38" s="781"/>
    </row>
    <row r="39" spans="2:10" ht="14.25" thickTop="1">
      <c r="J39" s="782"/>
    </row>
  </sheetData>
  <mergeCells count="12">
    <mergeCell ref="B2:K2"/>
    <mergeCell ref="C38:D38"/>
    <mergeCell ref="E38:F38"/>
    <mergeCell ref="G38:I38"/>
    <mergeCell ref="D23:E23"/>
    <mergeCell ref="D27:E27"/>
    <mergeCell ref="D29:E29"/>
    <mergeCell ref="O11:Q11"/>
    <mergeCell ref="D14:E14"/>
    <mergeCell ref="D17:E17"/>
    <mergeCell ref="D20:E20"/>
    <mergeCell ref="B5:I5"/>
  </mergeCells>
  <hyperlinks>
    <hyperlink ref="U5" location="'Pres-gav.'!A1" display="PRESUPUESTO"/>
    <hyperlink ref="U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21"/>
  <sheetViews>
    <sheetView showGridLines="0" view="pageBreakPreview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295" customWidth="1"/>
    <col min="2" max="2" width="3.5703125" style="289" customWidth="1"/>
    <col min="3" max="3" width="25" style="289" customWidth="1"/>
    <col min="4" max="4" width="7" style="295" customWidth="1"/>
    <col min="5" max="5" width="7.85546875" style="289" customWidth="1"/>
    <col min="6" max="6" width="10.7109375" style="289" customWidth="1"/>
    <col min="7" max="7" width="7.28515625" style="289" customWidth="1"/>
    <col min="8" max="8" width="8.85546875" style="289" customWidth="1"/>
    <col min="9" max="9" width="5.7109375" style="289" customWidth="1"/>
    <col min="10" max="10" width="8.7109375" style="153" customWidth="1"/>
    <col min="11" max="11" width="6.2851562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19.5" thickTop="1" thickBot="1">
      <c r="A5" s="107"/>
      <c r="B5" s="986" t="s">
        <v>248</v>
      </c>
      <c r="C5" s="987"/>
      <c r="D5" s="987"/>
      <c r="E5" s="987"/>
      <c r="F5" s="987"/>
      <c r="G5" s="987"/>
      <c r="H5" s="987"/>
      <c r="I5" s="987"/>
      <c r="J5" s="987"/>
      <c r="K5" s="988"/>
      <c r="L5" s="107"/>
      <c r="S5" s="107"/>
      <c r="V5" s="305" t="s">
        <v>2</v>
      </c>
    </row>
    <row r="6" spans="1:22" s="114" customFormat="1" ht="15.75" thickTop="1">
      <c r="A6" s="110"/>
      <c r="B6" s="265" t="s">
        <v>250</v>
      </c>
      <c r="C6" s="434"/>
      <c r="D6" s="435" t="s">
        <v>167</v>
      </c>
      <c r="E6" s="435"/>
      <c r="F6" s="434" t="s">
        <v>135</v>
      </c>
      <c r="G6" s="435"/>
      <c r="H6" s="434" t="s">
        <v>136</v>
      </c>
      <c r="I6" s="435"/>
      <c r="J6" s="434"/>
      <c r="K6" s="436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305" t="s">
        <v>141</v>
      </c>
    </row>
    <row r="7" spans="1:22" s="114" customFormat="1" ht="15">
      <c r="A7" s="110"/>
      <c r="B7" s="437" t="s">
        <v>251</v>
      </c>
      <c r="C7" s="188"/>
      <c r="D7" s="439">
        <v>1</v>
      </c>
      <c r="E7" s="439" t="s">
        <v>254</v>
      </c>
      <c r="F7" s="439">
        <v>2100</v>
      </c>
      <c r="G7" s="578" t="s">
        <v>87</v>
      </c>
      <c r="H7" s="746">
        <f>+F7*D7</f>
        <v>2100</v>
      </c>
      <c r="I7" s="441" t="s">
        <v>255</v>
      </c>
      <c r="J7" s="443"/>
      <c r="K7" s="444"/>
      <c r="L7" s="112">
        <v>13</v>
      </c>
      <c r="M7" s="113" t="e">
        <f>+LOOKUP(L7,#REF!,#REF!)</f>
        <v>#REF!</v>
      </c>
      <c r="N7" s="113" t="s">
        <v>144</v>
      </c>
      <c r="O7" s="113"/>
      <c r="P7" s="118" t="e">
        <f>+(LOOKUP(L7,#REF!,#REF!))*B7</f>
        <v>#REF!</v>
      </c>
      <c r="Q7" s="118" t="e">
        <f>+(LOOKUP(L7,#REF!,#REF!))*B7</f>
        <v>#REF!</v>
      </c>
      <c r="R7" s="118" t="e">
        <f>+(LOOKUP(L7,#REF!,#REF!))*B7</f>
        <v>#REF!</v>
      </c>
      <c r="S7" s="118" t="e">
        <f>+(LOOKUP(L7,#REF!,#REF!))*B7</f>
        <v>#REF!</v>
      </c>
      <c r="T7" s="119" t="e">
        <f>+#REF!+#REF!+#REF!+#REF!</f>
        <v>#REF!</v>
      </c>
    </row>
    <row r="8" spans="1:22" s="114" customFormat="1" ht="15">
      <c r="A8" s="110"/>
      <c r="B8" s="437" t="s">
        <v>252</v>
      </c>
      <c r="C8" s="188"/>
      <c r="D8" s="439">
        <v>1</v>
      </c>
      <c r="E8" s="439" t="s">
        <v>254</v>
      </c>
      <c r="F8" s="439">
        <f>10*2*12</f>
        <v>240</v>
      </c>
      <c r="G8" s="578" t="s">
        <v>87</v>
      </c>
      <c r="H8" s="746">
        <f t="shared" ref="H8:H9" si="0">+F8*D8</f>
        <v>240</v>
      </c>
      <c r="I8" s="441" t="s">
        <v>255</v>
      </c>
      <c r="J8" s="443"/>
      <c r="K8" s="444"/>
      <c r="L8" s="112">
        <v>7</v>
      </c>
      <c r="M8" s="113" t="e">
        <f>+LOOKUP(L8,#REF!,#REF!)</f>
        <v>#REF!</v>
      </c>
      <c r="N8" s="113"/>
      <c r="O8" s="113"/>
      <c r="P8" s="118" t="e">
        <f>+(LOOKUP(L8,#REF!,#REF!))*B8</f>
        <v>#REF!</v>
      </c>
      <c r="Q8" s="118" t="e">
        <f>+(LOOKUP(L8,#REF!,#REF!))*B8</f>
        <v>#REF!</v>
      </c>
      <c r="R8" s="118" t="e">
        <f>+(LOOKUP(L8,#REF!,#REF!))*B8</f>
        <v>#REF!</v>
      </c>
      <c r="S8" s="118" t="e">
        <f>+(LOOKUP(L8,#REF!,#REF!))*B8</f>
        <v>#REF!</v>
      </c>
      <c r="T8" s="119" t="e">
        <f>+S7+R7+Q7+P7</f>
        <v>#REF!</v>
      </c>
    </row>
    <row r="9" spans="1:22" s="114" customFormat="1" ht="15">
      <c r="A9" s="110"/>
      <c r="B9" s="445" t="s">
        <v>253</v>
      </c>
      <c r="C9" s="446"/>
      <c r="D9" s="439">
        <v>1</v>
      </c>
      <c r="E9" s="439" t="s">
        <v>254</v>
      </c>
      <c r="F9" s="459">
        <v>350</v>
      </c>
      <c r="G9" s="578" t="s">
        <v>87</v>
      </c>
      <c r="H9" s="746">
        <f t="shared" si="0"/>
        <v>350</v>
      </c>
      <c r="I9" s="441" t="s">
        <v>255</v>
      </c>
      <c r="J9" s="440"/>
      <c r="K9" s="452"/>
      <c r="L9" s="112"/>
      <c r="M9" s="113"/>
      <c r="N9" s="113"/>
      <c r="O9" s="113"/>
      <c r="P9" s="124" t="e">
        <f>SUM(P7:P8)</f>
        <v>#REF!</v>
      </c>
      <c r="Q9" s="125" t="e">
        <f>SUM(Q7:Q8)</f>
        <v>#REF!</v>
      </c>
      <c r="R9" s="125" t="e">
        <f>SUM(R7:R8)</f>
        <v>#REF!</v>
      </c>
      <c r="S9" s="126" t="e">
        <f>SUM(S7:S8)</f>
        <v>#REF!</v>
      </c>
      <c r="T9" s="119" t="e">
        <f>+#REF!+#REF!+#REF!+#REF!</f>
        <v>#REF!</v>
      </c>
    </row>
    <row r="10" spans="1:22" s="114" customFormat="1" ht="15">
      <c r="A10" s="110"/>
      <c r="B10" s="445"/>
      <c r="C10" s="290"/>
      <c r="D10" s="439"/>
      <c r="E10" s="439"/>
      <c r="F10" s="440"/>
      <c r="G10" s="439"/>
      <c r="H10" s="579">
        <f>SUM(H7:H9)</f>
        <v>2690</v>
      </c>
      <c r="I10" s="441" t="s">
        <v>255</v>
      </c>
      <c r="J10" s="440"/>
      <c r="K10" s="453"/>
      <c r="L10" s="112"/>
      <c r="N10" s="113"/>
      <c r="O10" s="113"/>
      <c r="P10" s="119"/>
      <c r="S10" s="110"/>
      <c r="T10" s="296" t="e">
        <f>SUM(T7:T9)</f>
        <v>#REF!</v>
      </c>
    </row>
    <row r="11" spans="1:22" s="114" customFormat="1" ht="15">
      <c r="A11" s="110"/>
      <c r="B11" s="291"/>
      <c r="C11" s="454"/>
      <c r="D11" s="455"/>
      <c r="E11" s="455"/>
      <c r="F11" s="456"/>
      <c r="G11" s="455"/>
      <c r="H11" s="456"/>
      <c r="I11" s="455"/>
      <c r="J11" s="440"/>
      <c r="K11" s="457"/>
      <c r="L11" s="112"/>
      <c r="O11" s="113"/>
      <c r="P11" s="119"/>
      <c r="S11" s="110"/>
    </row>
    <row r="12" spans="1:22" s="114" customFormat="1" ht="15">
      <c r="A12" s="110"/>
      <c r="B12" s="292" t="s">
        <v>157</v>
      </c>
      <c r="C12" s="454"/>
      <c r="D12" s="459"/>
      <c r="E12" s="469"/>
      <c r="F12" s="439"/>
      <c r="G12" s="439"/>
      <c r="H12" s="439"/>
      <c r="I12" s="439"/>
      <c r="J12" s="270">
        <f>+H10</f>
        <v>2690</v>
      </c>
      <c r="K12" s="373" t="s">
        <v>255</v>
      </c>
      <c r="P12" s="139"/>
      <c r="S12" s="110"/>
    </row>
    <row r="13" spans="1:22" s="114" customFormat="1" ht="15">
      <c r="A13" s="110"/>
      <c r="B13" s="292"/>
      <c r="C13" s="454"/>
      <c r="D13" s="459"/>
      <c r="E13" s="469"/>
      <c r="F13" s="439"/>
      <c r="G13" s="439"/>
      <c r="H13" s="439"/>
      <c r="I13" s="439"/>
      <c r="J13" s="440"/>
      <c r="K13" s="453"/>
      <c r="L13" s="112"/>
      <c r="M13" s="113"/>
      <c r="N13" s="113"/>
      <c r="O13" s="113"/>
      <c r="P13" s="139"/>
      <c r="S13" s="140"/>
    </row>
    <row r="14" spans="1:22" s="114" customFormat="1" ht="15.75" thickBot="1">
      <c r="A14" s="110"/>
      <c r="B14" s="470" t="s">
        <v>158</v>
      </c>
      <c r="C14" s="266"/>
      <c r="D14" s="811">
        <f>+'Coeficiente Resumen'!D19</f>
        <v>1.6619999999999999</v>
      </c>
      <c r="E14" s="471" t="s">
        <v>159</v>
      </c>
      <c r="F14" s="471">
        <f>J12</f>
        <v>2690</v>
      </c>
      <c r="G14" s="471" t="s">
        <v>255</v>
      </c>
      <c r="H14" s="449"/>
      <c r="I14" s="471" t="s">
        <v>155</v>
      </c>
      <c r="J14" s="271">
        <f>+D14*F14</f>
        <v>4470.78</v>
      </c>
      <c r="K14" s="374" t="s">
        <v>255</v>
      </c>
      <c r="L14" s="299"/>
      <c r="M14" s="293"/>
      <c r="N14" s="113"/>
      <c r="O14" s="113"/>
      <c r="P14" s="303"/>
      <c r="S14" s="110"/>
    </row>
    <row r="15" spans="1:22" s="122" customFormat="1" ht="17.25" thickTop="1" thickBot="1">
      <c r="A15" s="129"/>
      <c r="B15" s="989" t="s">
        <v>160</v>
      </c>
      <c r="C15" s="989"/>
      <c r="D15" s="990">
        <f>ROUND(J14,2)</f>
        <v>4470.78</v>
      </c>
      <c r="E15" s="990"/>
      <c r="F15" s="992" t="str">
        <f>+K14</f>
        <v>$/mes</v>
      </c>
      <c r="G15" s="992"/>
      <c r="H15" s="992"/>
      <c r="I15" s="267"/>
      <c r="J15" s="268"/>
      <c r="K15" s="269"/>
      <c r="L15" s="300"/>
      <c r="M15" s="301"/>
      <c r="N15" s="128"/>
      <c r="O15" s="128"/>
      <c r="P15" s="149"/>
      <c r="S15" s="129"/>
    </row>
    <row r="16" spans="1:22" ht="15.75" thickTop="1">
      <c r="C16" s="152"/>
      <c r="D16" s="123"/>
      <c r="E16" s="123"/>
      <c r="F16" s="121"/>
      <c r="G16" s="123"/>
    </row>
    <row r="17" spans="3:16">
      <c r="C17" s="155"/>
      <c r="P17" s="302"/>
    </row>
    <row r="18" spans="3:16">
      <c r="C18" s="294"/>
      <c r="D18" s="985"/>
      <c r="E18" s="985"/>
      <c r="F18" s="158"/>
    </row>
    <row r="19" spans="3:16">
      <c r="C19" s="294"/>
      <c r="D19" s="985"/>
      <c r="E19" s="985"/>
      <c r="P19" s="302"/>
    </row>
    <row r="20" spans="3:16">
      <c r="C20" s="294"/>
      <c r="D20" s="985"/>
      <c r="E20" s="985"/>
    </row>
    <row r="21" spans="3:16">
      <c r="C21" s="294"/>
      <c r="D21" s="985"/>
      <c r="E21" s="985"/>
    </row>
  </sheetData>
  <mergeCells count="9">
    <mergeCell ref="B2:K2"/>
    <mergeCell ref="B5:K5"/>
    <mergeCell ref="D20:E20"/>
    <mergeCell ref="D21:E21"/>
    <mergeCell ref="B15:C15"/>
    <mergeCell ref="D15:E15"/>
    <mergeCell ref="F15:H15"/>
    <mergeCell ref="D18:E18"/>
    <mergeCell ref="D19:E19"/>
  </mergeCells>
  <hyperlinks>
    <hyperlink ref="V5" location="'Pres-gav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B1:AD71"/>
  <sheetViews>
    <sheetView showGridLines="0" view="pageBreakPreview" zoomScale="90" zoomScaleNormal="100" zoomScaleSheetLayoutView="90" workbookViewId="0">
      <selection activeCell="U16" sqref="U16"/>
    </sheetView>
  </sheetViews>
  <sheetFormatPr baseColWidth="10" defaultRowHeight="13.5"/>
  <cols>
    <col min="1" max="1" width="1.85546875" style="160" customWidth="1"/>
    <col min="2" max="2" width="26.42578125" style="160" customWidth="1"/>
    <col min="3" max="3" width="8.5703125" style="160" customWidth="1"/>
    <col min="4" max="4" width="7" style="160" customWidth="1"/>
    <col min="5" max="5" width="7.28515625" style="160" customWidth="1"/>
    <col min="6" max="6" width="10.140625" style="160" customWidth="1"/>
    <col min="7" max="7" width="5.28515625" style="160" customWidth="1"/>
    <col min="8" max="8" width="4.28515625" style="160" customWidth="1"/>
    <col min="9" max="9" width="13.42578125" style="160" customWidth="1"/>
    <col min="10" max="10" width="9.85546875" style="240" customWidth="1"/>
    <col min="11" max="11" width="11" style="160" customWidth="1"/>
    <col min="12" max="27" width="0" style="160" hidden="1" customWidth="1"/>
    <col min="28" max="28" width="11.42578125" style="160"/>
    <col min="29" max="29" width="14.5703125" style="160" bestFit="1" customWidth="1"/>
    <col min="30" max="16384" width="11.42578125" style="160"/>
  </cols>
  <sheetData>
    <row r="1" spans="2:12" s="264" customFormat="1">
      <c r="B1" s="5"/>
      <c r="C1" s="5"/>
      <c r="G1" s="704"/>
      <c r="H1" s="8"/>
      <c r="I1" s="8"/>
    </row>
    <row r="2" spans="2:12" s="264" customFormat="1" ht="60.75" customHeight="1">
      <c r="B2" s="913" t="s">
        <v>357</v>
      </c>
      <c r="C2" s="913"/>
      <c r="D2" s="913"/>
      <c r="E2" s="913"/>
      <c r="F2" s="913"/>
      <c r="G2" s="913"/>
      <c r="H2" s="913"/>
      <c r="I2" s="913"/>
      <c r="J2" s="913"/>
      <c r="K2" s="706"/>
    </row>
    <row r="3" spans="2:1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2:12" s="742" customFormat="1" ht="16.5" customHeight="1" thickBot="1">
      <c r="B4" s="740"/>
      <c r="C4" s="740"/>
      <c r="D4" s="740"/>
      <c r="E4" s="740"/>
      <c r="F4" s="740"/>
      <c r="G4" s="740"/>
      <c r="H4" s="740"/>
      <c r="I4" s="740"/>
      <c r="J4" s="740"/>
      <c r="K4" s="740"/>
    </row>
    <row r="5" spans="2:12" s="1" customFormat="1" ht="16.5" thickTop="1" thickBot="1">
      <c r="B5" s="1010" t="s">
        <v>197</v>
      </c>
      <c r="C5" s="1011"/>
      <c r="D5" s="1011"/>
      <c r="E5" s="1011"/>
      <c r="F5" s="1011"/>
      <c r="G5" s="1011"/>
      <c r="H5" s="1011"/>
      <c r="I5" s="1011"/>
      <c r="J5" s="1012"/>
      <c r="K5" s="223"/>
      <c r="L5" s="223"/>
    </row>
    <row r="6" spans="2:12" s="743" customFormat="1" ht="15.75" thickTop="1">
      <c r="B6" s="680"/>
      <c r="C6" s="681"/>
      <c r="D6" s="681"/>
      <c r="E6" s="681"/>
      <c r="F6" s="681"/>
      <c r="G6" s="681"/>
      <c r="H6" s="681"/>
      <c r="I6" s="681"/>
      <c r="J6" s="682"/>
      <c r="K6" s="744"/>
      <c r="L6" s="744"/>
    </row>
    <row r="7" spans="2:12" s="743" customFormat="1" ht="15">
      <c r="B7" s="224" t="s">
        <v>183</v>
      </c>
      <c r="C7" s="225"/>
      <c r="D7" s="225"/>
      <c r="E7" s="225"/>
      <c r="F7" s="225"/>
      <c r="G7" s="225"/>
      <c r="H7" s="225"/>
      <c r="I7" s="225"/>
      <c r="J7" s="226"/>
      <c r="K7" s="744"/>
      <c r="L7" s="744"/>
    </row>
    <row r="8" spans="2:12" s="743" customFormat="1" ht="15">
      <c r="B8" s="227" t="s">
        <v>339</v>
      </c>
      <c r="C8" s="225"/>
      <c r="D8" s="225"/>
      <c r="E8" s="225"/>
      <c r="F8" s="225"/>
      <c r="G8" s="225"/>
      <c r="H8" s="225"/>
      <c r="I8" s="228">
        <f>+'Precios Básicos Materiales'!D8</f>
        <v>409.88</v>
      </c>
      <c r="J8" s="229" t="s">
        <v>171</v>
      </c>
      <c r="K8" s="744"/>
      <c r="L8" s="744"/>
    </row>
    <row r="9" spans="2:12" s="743" customFormat="1" ht="15">
      <c r="B9" s="227" t="s">
        <v>198</v>
      </c>
      <c r="C9" s="225"/>
      <c r="D9" s="230">
        <v>455</v>
      </c>
      <c r="E9" s="239" t="s">
        <v>204</v>
      </c>
      <c r="F9" s="745">
        <v>0.32600000000000001</v>
      </c>
      <c r="G9" s="231" t="s">
        <v>205</v>
      </c>
      <c r="H9" s="231"/>
      <c r="I9" s="228">
        <f>TRUNC(+D9*F9*100+0.5)/100</f>
        <v>148.33000000000001</v>
      </c>
      <c r="J9" s="229" t="s">
        <v>171</v>
      </c>
      <c r="K9" s="744"/>
      <c r="L9" s="744"/>
    </row>
    <row r="10" spans="2:12" s="743" customFormat="1" ht="15">
      <c r="B10" s="227" t="s">
        <v>199</v>
      </c>
      <c r="C10" s="225"/>
      <c r="D10" s="230">
        <v>0.3</v>
      </c>
      <c r="E10" s="231" t="s">
        <v>203</v>
      </c>
      <c r="F10" s="328">
        <f>+'Mano de Obra'!I48</f>
        <v>35.817500000000003</v>
      </c>
      <c r="G10" s="231" t="s">
        <v>200</v>
      </c>
      <c r="H10" s="231"/>
      <c r="I10" s="750">
        <f>F10*D10</f>
        <v>10.74525</v>
      </c>
      <c r="J10" s="229" t="s">
        <v>171</v>
      </c>
      <c r="K10" s="744"/>
      <c r="L10" s="744"/>
    </row>
    <row r="11" spans="2:12" s="743" customFormat="1" ht="15">
      <c r="B11" s="232"/>
      <c r="C11" s="225"/>
      <c r="D11" s="225"/>
      <c r="E11" s="225"/>
      <c r="F11" s="225"/>
      <c r="G11" s="233"/>
      <c r="H11" s="233"/>
      <c r="I11" s="228">
        <f>SUM(I8:I10)</f>
        <v>568.95525000000009</v>
      </c>
      <c r="J11" s="229" t="s">
        <v>171</v>
      </c>
      <c r="K11" s="744"/>
      <c r="L11" s="744"/>
    </row>
    <row r="12" spans="2:12" s="743" customFormat="1" ht="15">
      <c r="B12" s="227" t="s">
        <v>201</v>
      </c>
      <c r="C12" s="225"/>
      <c r="D12" s="238">
        <v>1.4999999999999999E-2</v>
      </c>
      <c r="E12" s="225"/>
      <c r="F12" s="235"/>
      <c r="G12" s="225"/>
      <c r="H12" s="225"/>
      <c r="I12" s="750">
        <f>(+I11*D12)</f>
        <v>8.5343287500000002</v>
      </c>
      <c r="J12" s="229" t="s">
        <v>171</v>
      </c>
      <c r="K12" s="744"/>
      <c r="L12" s="744"/>
    </row>
    <row r="13" spans="2:12">
      <c r="B13" s="227" t="s">
        <v>202</v>
      </c>
      <c r="C13" s="225"/>
      <c r="D13" s="225"/>
      <c r="E13" s="225"/>
      <c r="F13" s="225"/>
      <c r="G13" s="233"/>
      <c r="H13" s="233"/>
      <c r="I13" s="236">
        <f>I11+I12</f>
        <v>577.48957875000008</v>
      </c>
      <c r="J13" s="237" t="s">
        <v>171</v>
      </c>
    </row>
    <row r="14" spans="2:12" ht="14.25" thickBot="1">
      <c r="B14" s="227"/>
      <c r="C14" s="225"/>
      <c r="D14" s="225"/>
      <c r="E14" s="225"/>
      <c r="F14" s="225"/>
      <c r="G14" s="233"/>
      <c r="H14" s="233"/>
      <c r="I14" s="236"/>
      <c r="J14" s="237"/>
    </row>
    <row r="15" spans="2:12" ht="14.25" thickTop="1">
      <c r="B15" s="747" t="s">
        <v>284</v>
      </c>
      <c r="C15" s="748"/>
      <c r="D15" s="748"/>
      <c r="E15" s="748"/>
      <c r="F15" s="748"/>
      <c r="G15" s="748"/>
      <c r="H15" s="748"/>
      <c r="I15" s="748"/>
      <c r="J15" s="749"/>
    </row>
    <row r="16" spans="2:12" ht="15">
      <c r="B16" s="227" t="s">
        <v>317</v>
      </c>
      <c r="C16" s="225"/>
      <c r="D16" s="225"/>
      <c r="E16" s="225"/>
      <c r="F16" s="225"/>
      <c r="G16" s="225"/>
      <c r="H16" s="225"/>
      <c r="I16" s="228">
        <f>+'Precios Básicos Materiales'!D10</f>
        <v>55.800000000000004</v>
      </c>
      <c r="J16" s="684" t="s">
        <v>318</v>
      </c>
    </row>
    <row r="17" spans="2:30" ht="15">
      <c r="B17" s="227" t="s">
        <v>198</v>
      </c>
      <c r="C17" s="225"/>
      <c r="D17" s="230">
        <v>2078</v>
      </c>
      <c r="E17" s="239" t="s">
        <v>204</v>
      </c>
      <c r="F17" s="686">
        <v>1E-4</v>
      </c>
      <c r="G17" s="231" t="s">
        <v>205</v>
      </c>
      <c r="H17" s="231"/>
      <c r="I17" s="228">
        <f>TRUNC(+D17*F17*100+0.5)/100</f>
        <v>0.21</v>
      </c>
      <c r="J17" s="684" t="s">
        <v>318</v>
      </c>
    </row>
    <row r="18" spans="2:30" ht="15">
      <c r="B18" s="227" t="s">
        <v>207</v>
      </c>
      <c r="C18" s="225"/>
      <c r="D18" s="234">
        <v>0.02</v>
      </c>
      <c r="E18" s="239"/>
      <c r="F18" s="230"/>
      <c r="G18" s="231"/>
      <c r="H18" s="231"/>
      <c r="I18" s="228">
        <f>I16*D18</f>
        <v>1.1160000000000001</v>
      </c>
      <c r="J18" s="684" t="s">
        <v>318</v>
      </c>
    </row>
    <row r="19" spans="2:30" ht="15">
      <c r="B19" s="227" t="s">
        <v>202</v>
      </c>
      <c r="C19" s="225"/>
      <c r="D19" s="225"/>
      <c r="E19" s="225"/>
      <c r="F19" s="225"/>
      <c r="G19" s="233"/>
      <c r="H19" s="233"/>
      <c r="I19" s="329">
        <f>SUM(I16:I18)</f>
        <v>57.126000000000005</v>
      </c>
      <c r="J19" s="685" t="s">
        <v>319</v>
      </c>
    </row>
    <row r="20" spans="2:30" ht="14.25" thickBot="1">
      <c r="B20" s="678"/>
      <c r="C20" s="679"/>
      <c r="D20" s="679"/>
      <c r="E20" s="679"/>
      <c r="F20" s="679"/>
      <c r="G20" s="679"/>
      <c r="H20" s="679"/>
      <c r="I20" s="679"/>
      <c r="J20" s="683"/>
    </row>
    <row r="21" spans="2:30" ht="14.25" thickTop="1">
      <c r="B21" s="680"/>
      <c r="C21" s="681"/>
      <c r="D21" s="681"/>
      <c r="E21" s="681"/>
      <c r="F21" s="681"/>
      <c r="G21" s="681"/>
      <c r="H21" s="681"/>
      <c r="I21" s="681"/>
      <c r="J21" s="682"/>
    </row>
    <row r="22" spans="2:30">
      <c r="B22" s="224" t="s">
        <v>261</v>
      </c>
      <c r="C22" s="225"/>
      <c r="D22" s="225"/>
      <c r="E22" s="225"/>
      <c r="F22" s="225"/>
      <c r="G22" s="225"/>
      <c r="H22" s="225"/>
      <c r="I22" s="225"/>
      <c r="J22" s="226"/>
    </row>
    <row r="23" spans="2:30" ht="15">
      <c r="B23" s="227" t="s">
        <v>317</v>
      </c>
      <c r="C23" s="225"/>
      <c r="D23" s="225"/>
      <c r="E23" s="225"/>
      <c r="F23" s="225"/>
      <c r="G23" s="225"/>
      <c r="H23" s="225"/>
      <c r="I23" s="228">
        <f>+'Precios Básicos Materiales'!D9</f>
        <v>5.8500000000000005</v>
      </c>
      <c r="J23" s="684" t="s">
        <v>318</v>
      </c>
    </row>
    <row r="24" spans="2:30" ht="15">
      <c r="B24" s="227" t="s">
        <v>198</v>
      </c>
      <c r="C24" s="225"/>
      <c r="D24" s="230">
        <f>1623+455</f>
        <v>2078</v>
      </c>
      <c r="E24" s="239" t="s">
        <v>204</v>
      </c>
      <c r="F24" s="686">
        <f>0.326*0.0002</f>
        <v>6.5199999999999999E-5</v>
      </c>
      <c r="G24" s="231" t="s">
        <v>321</v>
      </c>
      <c r="H24" s="231"/>
      <c r="I24" s="228">
        <f>+D24*F24</f>
        <v>0.13548560000000001</v>
      </c>
      <c r="J24" s="684" t="s">
        <v>318</v>
      </c>
    </row>
    <row r="25" spans="2:30" ht="15">
      <c r="B25" s="227" t="s">
        <v>207</v>
      </c>
      <c r="C25" s="225"/>
      <c r="D25" s="234">
        <v>0.02</v>
      </c>
      <c r="E25" s="239"/>
      <c r="F25" s="230"/>
      <c r="G25" s="231"/>
      <c r="H25" s="231"/>
      <c r="I25" s="228">
        <f>I23*D25</f>
        <v>0.11700000000000001</v>
      </c>
      <c r="J25" s="684" t="s">
        <v>318</v>
      </c>
    </row>
    <row r="26" spans="2:30" ht="15">
      <c r="B26" s="227" t="s">
        <v>202</v>
      </c>
      <c r="C26" s="225"/>
      <c r="D26" s="225"/>
      <c r="E26" s="225"/>
      <c r="F26" s="225"/>
      <c r="G26" s="233"/>
      <c r="H26" s="233"/>
      <c r="I26" s="329">
        <f>SUM(I23:I25)</f>
        <v>6.1024856000000005</v>
      </c>
      <c r="J26" s="685" t="s">
        <v>319</v>
      </c>
    </row>
    <row r="27" spans="2:30" ht="14.25" thickBot="1">
      <c r="B27" s="678"/>
      <c r="C27" s="679"/>
      <c r="D27" s="679"/>
      <c r="E27" s="679"/>
      <c r="F27" s="679"/>
      <c r="G27" s="679"/>
      <c r="H27" s="679"/>
      <c r="I27" s="679"/>
      <c r="J27" s="683"/>
      <c r="AD27" s="687"/>
    </row>
    <row r="28" spans="2:30" ht="14.25" thickTop="1">
      <c r="B28" s="680"/>
      <c r="C28" s="681"/>
      <c r="D28" s="681"/>
      <c r="E28" s="681"/>
      <c r="F28" s="681"/>
      <c r="G28" s="681"/>
      <c r="H28" s="681"/>
      <c r="I28" s="681"/>
      <c r="J28" s="682"/>
    </row>
    <row r="29" spans="2:30" ht="15">
      <c r="B29" s="224" t="s">
        <v>337</v>
      </c>
      <c r="C29" s="225"/>
      <c r="D29" s="225"/>
      <c r="E29" s="225"/>
      <c r="F29" s="225"/>
      <c r="G29" s="225"/>
      <c r="H29" s="225"/>
      <c r="I29" s="225"/>
      <c r="J29" s="226"/>
    </row>
    <row r="30" spans="2:30">
      <c r="B30" s="227" t="s">
        <v>317</v>
      </c>
      <c r="C30" s="225"/>
      <c r="D30" s="225"/>
      <c r="E30" s="225"/>
      <c r="F30" s="225"/>
      <c r="G30" s="225"/>
      <c r="H30" s="225"/>
      <c r="I30" s="228">
        <f>+'Precios Básicos Materiales'!D13</f>
        <v>3667.5</v>
      </c>
      <c r="J30" s="684" t="s">
        <v>87</v>
      </c>
    </row>
    <row r="31" spans="2:30">
      <c r="B31" s="227" t="s">
        <v>198</v>
      </c>
      <c r="C31" s="225"/>
      <c r="D31" s="230">
        <f>1623+455</f>
        <v>2078</v>
      </c>
      <c r="E31" s="239" t="s">
        <v>204</v>
      </c>
      <c r="F31" s="691">
        <f>0.326*0.0002*38.55</f>
        <v>2.5134599999999999E-3</v>
      </c>
      <c r="G31" s="231" t="s">
        <v>322</v>
      </c>
      <c r="H31" s="231"/>
      <c r="I31" s="228">
        <f>+D31*F31</f>
        <v>5.22296988</v>
      </c>
      <c r="J31" s="684" t="s">
        <v>87</v>
      </c>
    </row>
    <row r="32" spans="2:30">
      <c r="B32" s="227" t="s">
        <v>207</v>
      </c>
      <c r="C32" s="225"/>
      <c r="D32" s="234">
        <v>0.02</v>
      </c>
      <c r="E32" s="239"/>
      <c r="F32" s="230"/>
      <c r="G32" s="231"/>
      <c r="H32" s="231"/>
      <c r="I32" s="228">
        <f>I30*D32</f>
        <v>73.350000000000009</v>
      </c>
      <c r="J32" s="684" t="s">
        <v>87</v>
      </c>
    </row>
    <row r="33" spans="2:29">
      <c r="B33" s="227" t="s">
        <v>202</v>
      </c>
      <c r="C33" s="225"/>
      <c r="D33" s="225"/>
      <c r="E33" s="225"/>
      <c r="F33" s="225"/>
      <c r="G33" s="233"/>
      <c r="H33" s="233"/>
      <c r="I33" s="329">
        <f>SUM(I30:I32)</f>
        <v>3746.0729698800001</v>
      </c>
      <c r="J33" s="685" t="s">
        <v>87</v>
      </c>
    </row>
    <row r="34" spans="2:29" ht="14.25" thickBot="1">
      <c r="B34" s="678"/>
      <c r="C34" s="679"/>
      <c r="D34" s="679"/>
      <c r="E34" s="679"/>
      <c r="F34" s="679"/>
      <c r="G34" s="679"/>
      <c r="H34" s="679"/>
      <c r="I34" s="679"/>
      <c r="J34" s="683"/>
    </row>
    <row r="35" spans="2:29" ht="14.25" thickTop="1">
      <c r="B35" s="680"/>
      <c r="C35" s="681"/>
      <c r="D35" s="681"/>
      <c r="E35" s="681"/>
      <c r="F35" s="681"/>
      <c r="G35" s="681"/>
      <c r="H35" s="681"/>
      <c r="I35" s="681"/>
      <c r="J35" s="682"/>
    </row>
    <row r="36" spans="2:29" ht="15">
      <c r="B36" s="224" t="s">
        <v>336</v>
      </c>
      <c r="C36" s="225"/>
      <c r="D36" s="225"/>
      <c r="E36" s="225"/>
      <c r="F36" s="225"/>
      <c r="G36" s="225"/>
      <c r="H36" s="225"/>
      <c r="I36" s="225"/>
      <c r="J36" s="226"/>
    </row>
    <row r="37" spans="2:29">
      <c r="B37" s="227" t="s">
        <v>317</v>
      </c>
      <c r="C37" s="225"/>
      <c r="D37" s="225"/>
      <c r="E37" s="225"/>
      <c r="F37" s="225"/>
      <c r="G37" s="225"/>
      <c r="H37" s="225"/>
      <c r="I37" s="228">
        <f>+'Precios Básicos Materiales'!D15</f>
        <v>1295.923312233092</v>
      </c>
      <c r="J37" s="684" t="s">
        <v>87</v>
      </c>
    </row>
    <row r="38" spans="2:29">
      <c r="B38" s="227" t="s">
        <v>198</v>
      </c>
      <c r="C38" s="225"/>
      <c r="D38" s="230">
        <f>1623+455</f>
        <v>2078</v>
      </c>
      <c r="E38" s="239" t="s">
        <v>204</v>
      </c>
      <c r="F38" s="691">
        <f>0.326*0.0002*38.55</f>
        <v>2.5134599999999999E-3</v>
      </c>
      <c r="G38" s="231" t="s">
        <v>322</v>
      </c>
      <c r="H38" s="231"/>
      <c r="I38" s="228">
        <f>+D38*F38</f>
        <v>5.22296988</v>
      </c>
      <c r="J38" s="684" t="s">
        <v>87</v>
      </c>
    </row>
    <row r="39" spans="2:29">
      <c r="B39" s="227" t="s">
        <v>207</v>
      </c>
      <c r="C39" s="225"/>
      <c r="D39" s="234">
        <v>0.02</v>
      </c>
      <c r="E39" s="239"/>
      <c r="F39" s="230"/>
      <c r="G39" s="231"/>
      <c r="H39" s="231"/>
      <c r="I39" s="228">
        <f>I37*D39</f>
        <v>25.91846624466184</v>
      </c>
      <c r="J39" s="684" t="s">
        <v>87</v>
      </c>
    </row>
    <row r="40" spans="2:29">
      <c r="B40" s="227" t="s">
        <v>202</v>
      </c>
      <c r="C40" s="225"/>
      <c r="D40" s="225"/>
      <c r="E40" s="225"/>
      <c r="F40" s="225"/>
      <c r="G40" s="233"/>
      <c r="H40" s="233"/>
      <c r="I40" s="329">
        <f>SUM(I37:I39)</f>
        <v>1327.0647483577538</v>
      </c>
      <c r="J40" s="685" t="s">
        <v>87</v>
      </c>
    </row>
    <row r="41" spans="2:29" ht="14.25" thickBot="1">
      <c r="B41" s="678"/>
      <c r="C41" s="679"/>
      <c r="D41" s="679"/>
      <c r="E41" s="679"/>
      <c r="F41" s="679"/>
      <c r="G41" s="679"/>
      <c r="H41" s="679"/>
      <c r="I41" s="679"/>
      <c r="J41" s="683"/>
    </row>
    <row r="42" spans="2:29" ht="16.5" thickTop="1">
      <c r="B42" s="680"/>
      <c r="C42" s="681"/>
      <c r="D42" s="681"/>
      <c r="E42" s="681"/>
      <c r="F42" s="681"/>
      <c r="G42" s="681"/>
      <c r="H42" s="681"/>
      <c r="I42" s="681"/>
      <c r="J42" s="682"/>
      <c r="AC42" s="688"/>
    </row>
    <row r="43" spans="2:29" ht="15">
      <c r="B43" s="224" t="s">
        <v>320</v>
      </c>
      <c r="C43" s="225"/>
      <c r="D43" s="225"/>
      <c r="E43" s="225"/>
      <c r="F43" s="225"/>
      <c r="G43" s="225"/>
      <c r="H43" s="225"/>
      <c r="I43" s="225"/>
      <c r="J43" s="226"/>
    </row>
    <row r="44" spans="2:29">
      <c r="B44" s="227" t="s">
        <v>317</v>
      </c>
      <c r="C44" s="225"/>
      <c r="D44" s="225"/>
      <c r="E44" s="225"/>
      <c r="F44" s="225"/>
      <c r="G44" s="225"/>
      <c r="H44" s="225"/>
      <c r="I44" s="228">
        <f>+'Precios Básicos Materiales'!D12</f>
        <v>855</v>
      </c>
      <c r="J44" s="684" t="s">
        <v>87</v>
      </c>
    </row>
    <row r="45" spans="2:29">
      <c r="B45" s="227" t="s">
        <v>198</v>
      </c>
      <c r="C45" s="225"/>
      <c r="D45" s="689">
        <f>1623+455</f>
        <v>2078</v>
      </c>
      <c r="E45" s="690" t="s">
        <v>204</v>
      </c>
      <c r="F45" s="691">
        <f>0.326*0.0002*2</f>
        <v>1.304E-4</v>
      </c>
      <c r="G45" s="692" t="s">
        <v>322</v>
      </c>
      <c r="H45" s="692"/>
      <c r="I45" s="693">
        <f>+D45*F45</f>
        <v>0.27097120000000002</v>
      </c>
      <c r="J45" s="694" t="s">
        <v>87</v>
      </c>
    </row>
    <row r="46" spans="2:29">
      <c r="B46" s="227" t="s">
        <v>207</v>
      </c>
      <c r="C46" s="225"/>
      <c r="D46" s="234">
        <v>0.02</v>
      </c>
      <c r="E46" s="239"/>
      <c r="F46" s="230"/>
      <c r="G46" s="231"/>
      <c r="H46" s="231"/>
      <c r="I46" s="228">
        <f>I44*D46</f>
        <v>17.100000000000001</v>
      </c>
      <c r="J46" s="684" t="s">
        <v>87</v>
      </c>
    </row>
    <row r="47" spans="2:29">
      <c r="B47" s="227" t="s">
        <v>202</v>
      </c>
      <c r="C47" s="225"/>
      <c r="D47" s="225"/>
      <c r="E47" s="225"/>
      <c r="F47" s="225"/>
      <c r="G47" s="233"/>
      <c r="H47" s="233"/>
      <c r="I47" s="329">
        <f>SUM(I44:I46)</f>
        <v>872.37097119999999</v>
      </c>
      <c r="J47" s="685" t="s">
        <v>87</v>
      </c>
    </row>
    <row r="48" spans="2:29" ht="14.25" thickBot="1">
      <c r="B48" s="678"/>
      <c r="C48" s="679"/>
      <c r="D48" s="679"/>
      <c r="E48" s="679"/>
      <c r="F48" s="679"/>
      <c r="G48" s="679"/>
      <c r="H48" s="679"/>
      <c r="I48" s="679"/>
      <c r="J48" s="683"/>
    </row>
    <row r="49" spans="2:10" ht="14.25" thickTop="1">
      <c r="B49" s="680"/>
      <c r="C49" s="681"/>
      <c r="D49" s="681"/>
      <c r="E49" s="681"/>
      <c r="F49" s="681"/>
      <c r="G49" s="681"/>
      <c r="H49" s="681"/>
      <c r="I49" s="681"/>
      <c r="J49" s="682"/>
    </row>
    <row r="50" spans="2:10" ht="15">
      <c r="B50" s="224" t="s">
        <v>333</v>
      </c>
      <c r="C50" s="225"/>
      <c r="D50" s="225"/>
      <c r="E50" s="225"/>
      <c r="F50" s="225"/>
      <c r="G50" s="225"/>
      <c r="H50" s="225"/>
      <c r="I50" s="225"/>
      <c r="J50" s="226"/>
    </row>
    <row r="51" spans="2:10">
      <c r="B51" s="227" t="s">
        <v>317</v>
      </c>
      <c r="C51" s="225"/>
      <c r="D51" s="225"/>
      <c r="E51" s="225"/>
      <c r="F51" s="225"/>
      <c r="G51" s="225"/>
      <c r="H51" s="225"/>
      <c r="I51" s="228">
        <f>+'Precios Básicos Materiales'!D11</f>
        <v>495</v>
      </c>
      <c r="J51" s="684" t="s">
        <v>87</v>
      </c>
    </row>
    <row r="52" spans="2:10">
      <c r="B52" s="227" t="s">
        <v>198</v>
      </c>
      <c r="C52" s="225"/>
      <c r="D52" s="689">
        <f>1623+455</f>
        <v>2078</v>
      </c>
      <c r="E52" s="690" t="s">
        <v>204</v>
      </c>
      <c r="F52" s="691">
        <f>0.326*0.0002*2</f>
        <v>1.304E-4</v>
      </c>
      <c r="G52" s="692" t="s">
        <v>322</v>
      </c>
      <c r="H52" s="692"/>
      <c r="I52" s="693">
        <f>+D52*F52</f>
        <v>0.27097120000000002</v>
      </c>
      <c r="J52" s="694" t="s">
        <v>87</v>
      </c>
    </row>
    <row r="53" spans="2:10">
      <c r="B53" s="227" t="s">
        <v>207</v>
      </c>
      <c r="C53" s="225"/>
      <c r="D53" s="234">
        <v>0.02</v>
      </c>
      <c r="E53" s="239"/>
      <c r="F53" s="230"/>
      <c r="G53" s="231"/>
      <c r="H53" s="231"/>
      <c r="I53" s="228">
        <f>I51*D53</f>
        <v>9.9</v>
      </c>
      <c r="J53" s="684" t="s">
        <v>87</v>
      </c>
    </row>
    <row r="54" spans="2:10">
      <c r="B54" s="227" t="s">
        <v>202</v>
      </c>
      <c r="C54" s="225"/>
      <c r="D54" s="225"/>
      <c r="E54" s="225"/>
      <c r="F54" s="225"/>
      <c r="G54" s="233"/>
      <c r="H54" s="233"/>
      <c r="I54" s="329">
        <f>SUM(I51:I53)</f>
        <v>505.1709712</v>
      </c>
      <c r="J54" s="685" t="s">
        <v>87</v>
      </c>
    </row>
    <row r="55" spans="2:10" ht="14.25" thickBot="1">
      <c r="B55" s="678"/>
      <c r="C55" s="679"/>
      <c r="D55" s="679"/>
      <c r="E55" s="679"/>
      <c r="F55" s="679"/>
      <c r="G55" s="679"/>
      <c r="H55" s="679"/>
      <c r="I55" s="679"/>
      <c r="J55" s="683"/>
    </row>
    <row r="56" spans="2:10" ht="14.25" thickTop="1">
      <c r="B56" s="680"/>
      <c r="C56" s="681"/>
      <c r="D56" s="681"/>
      <c r="E56" s="681"/>
      <c r="F56" s="681"/>
      <c r="G56" s="681"/>
      <c r="H56" s="681"/>
      <c r="I56" s="681"/>
      <c r="J56" s="682"/>
    </row>
    <row r="57" spans="2:10">
      <c r="B57" s="224" t="s">
        <v>361</v>
      </c>
      <c r="C57" s="225"/>
      <c r="D57" s="225"/>
      <c r="E57" s="225"/>
      <c r="F57" s="225"/>
      <c r="G57" s="225"/>
      <c r="H57" s="225"/>
      <c r="I57" s="225"/>
      <c r="J57" s="226"/>
    </row>
    <row r="58" spans="2:10">
      <c r="B58" s="227" t="s">
        <v>317</v>
      </c>
      <c r="C58" s="225"/>
      <c r="D58" s="225"/>
      <c r="E58" s="225"/>
      <c r="F58" s="225"/>
      <c r="G58" s="225"/>
      <c r="H58" s="225"/>
      <c r="I58" s="228">
        <f>+'Precios Básicos Materiales'!D16</f>
        <v>1.44</v>
      </c>
      <c r="J58" s="684" t="s">
        <v>86</v>
      </c>
    </row>
    <row r="59" spans="2:10">
      <c r="B59" s="227" t="s">
        <v>198</v>
      </c>
      <c r="C59" s="225"/>
      <c r="D59" s="689">
        <f>1623+455</f>
        <v>2078</v>
      </c>
      <c r="E59" s="690" t="s">
        <v>204</v>
      </c>
      <c r="F59" s="691">
        <f>0.326*0.0002*2</f>
        <v>1.304E-4</v>
      </c>
      <c r="G59" s="692" t="s">
        <v>362</v>
      </c>
      <c r="H59" s="692"/>
      <c r="I59" s="693">
        <f>+D59*F59</f>
        <v>0.27097120000000002</v>
      </c>
      <c r="J59" s="684" t="s">
        <v>86</v>
      </c>
    </row>
    <row r="60" spans="2:10">
      <c r="B60" s="227" t="s">
        <v>207</v>
      </c>
      <c r="C60" s="225"/>
      <c r="D60" s="234">
        <v>0.02</v>
      </c>
      <c r="E60" s="239"/>
      <c r="F60" s="230"/>
      <c r="G60" s="231"/>
      <c r="H60" s="231"/>
      <c r="I60" s="228">
        <f>I58*D60</f>
        <v>2.8799999999999999E-2</v>
      </c>
      <c r="J60" s="684" t="s">
        <v>86</v>
      </c>
    </row>
    <row r="61" spans="2:10">
      <c r="B61" s="227" t="s">
        <v>202</v>
      </c>
      <c r="C61" s="225"/>
      <c r="D61" s="225"/>
      <c r="E61" s="225"/>
      <c r="F61" s="225"/>
      <c r="G61" s="233"/>
      <c r="H61" s="233"/>
      <c r="I61" s="329">
        <f>SUM(I58:I60)</f>
        <v>1.7397711999999999</v>
      </c>
      <c r="J61" s="685" t="s">
        <v>86</v>
      </c>
    </row>
    <row r="62" spans="2:10" ht="14.25" thickBot="1">
      <c r="B62" s="678"/>
      <c r="C62" s="679"/>
      <c r="D62" s="679"/>
      <c r="E62" s="679"/>
      <c r="F62" s="679"/>
      <c r="G62" s="679"/>
      <c r="H62" s="679"/>
      <c r="I62" s="679"/>
      <c r="J62" s="683"/>
    </row>
    <row r="63" spans="2:10" ht="14.25" thickTop="1">
      <c r="B63" s="818"/>
      <c r="C63" s="819"/>
      <c r="D63" s="819"/>
      <c r="E63" s="819"/>
      <c r="F63" s="819"/>
      <c r="G63" s="819"/>
      <c r="H63" s="819"/>
      <c r="I63" s="819"/>
      <c r="J63" s="820"/>
    </row>
    <row r="64" spans="2:10">
      <c r="B64" s="224" t="s">
        <v>414</v>
      </c>
      <c r="C64" s="225"/>
      <c r="D64" s="225"/>
      <c r="E64" s="225"/>
      <c r="F64" s="225"/>
      <c r="G64" s="225"/>
      <c r="H64" s="225"/>
      <c r="I64" s="225"/>
      <c r="J64" s="226"/>
    </row>
    <row r="65" spans="2:10">
      <c r="B65" s="227" t="s">
        <v>363</v>
      </c>
      <c r="C65" s="225"/>
      <c r="D65" s="225"/>
      <c r="E65" s="225"/>
      <c r="F65" s="225"/>
      <c r="G65" s="225"/>
      <c r="H65" s="225"/>
      <c r="I65" s="228">
        <f>+'Precios Básicos Materiales'!D17</f>
        <v>6500</v>
      </c>
      <c r="J65" s="229" t="s">
        <v>171</v>
      </c>
    </row>
    <row r="66" spans="2:10">
      <c r="B66" s="227" t="s">
        <v>198</v>
      </c>
      <c r="C66" s="225"/>
      <c r="D66" s="689">
        <v>1635</v>
      </c>
      <c r="E66" s="690" t="s">
        <v>204</v>
      </c>
      <c r="F66" s="745">
        <v>0.32600000000000001</v>
      </c>
      <c r="G66" s="692" t="s">
        <v>205</v>
      </c>
      <c r="H66" s="692"/>
      <c r="I66" s="693">
        <f>+D66*F66</f>
        <v>533.01</v>
      </c>
      <c r="J66" s="229" t="s">
        <v>171</v>
      </c>
    </row>
    <row r="67" spans="2:10">
      <c r="B67" s="227" t="s">
        <v>199</v>
      </c>
      <c r="C67" s="225"/>
      <c r="D67" s="230">
        <v>2</v>
      </c>
      <c r="E67" s="231" t="s">
        <v>203</v>
      </c>
      <c r="F67" s="328">
        <f>+'Mano de Obra'!I48</f>
        <v>35.817500000000003</v>
      </c>
      <c r="G67" s="231" t="s">
        <v>200</v>
      </c>
      <c r="H67" s="231"/>
      <c r="I67" s="228">
        <f>+F67*D67</f>
        <v>71.635000000000005</v>
      </c>
      <c r="J67" s="229" t="s">
        <v>171</v>
      </c>
    </row>
    <row r="68" spans="2:10">
      <c r="B68" s="227" t="s">
        <v>202</v>
      </c>
      <c r="C68" s="225"/>
      <c r="D68" s="225"/>
      <c r="E68" s="225"/>
      <c r="F68" s="225"/>
      <c r="G68" s="233"/>
      <c r="H68" s="233"/>
      <c r="I68" s="816">
        <f>SUM(I65:I67)</f>
        <v>7104.6450000000004</v>
      </c>
      <c r="J68" s="229" t="s">
        <v>171</v>
      </c>
    </row>
    <row r="69" spans="2:10">
      <c r="B69" s="227" t="s">
        <v>201</v>
      </c>
      <c r="C69" s="225"/>
      <c r="D69" s="234">
        <v>0</v>
      </c>
      <c r="E69" s="225"/>
      <c r="F69" s="235"/>
      <c r="G69" s="225"/>
      <c r="H69" s="225"/>
      <c r="I69" s="817">
        <f>TRUNC(+I68*D69*100+0.5)/100</f>
        <v>0</v>
      </c>
      <c r="J69" s="229" t="s">
        <v>171</v>
      </c>
    </row>
    <row r="70" spans="2:10" ht="14.25" thickBot="1">
      <c r="B70" s="821" t="s">
        <v>202</v>
      </c>
      <c r="C70" s="822"/>
      <c r="D70" s="822"/>
      <c r="E70" s="822"/>
      <c r="F70" s="822"/>
      <c r="G70" s="823"/>
      <c r="H70" s="823"/>
      <c r="I70" s="824">
        <f>I68+I69</f>
        <v>7104.6450000000004</v>
      </c>
      <c r="J70" s="825" t="s">
        <v>171</v>
      </c>
    </row>
    <row r="71" spans="2:10" ht="14.25" thickTop="1"/>
  </sheetData>
  <mergeCells count="2">
    <mergeCell ref="B5:J5"/>
    <mergeCell ref="B2:J2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89" orientation="portrait" r:id="rId1"/>
  <headerFooter scaleWithDoc="0">
    <oddFooter xml:space="preserve">&amp;L&amp;"Arial,Normal"&amp;10Análisis Auxiliares&amp;R&amp;"Arial,Normal"&amp;10Pág. &amp;P de &amp;N   </oddFooter>
  </headerFooter>
  <rowBreaks count="1" manualBreakCount="1">
    <brk id="55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K29"/>
  <sheetViews>
    <sheetView showGridLines="0" view="pageBreakPreview" zoomScaleNormal="100" zoomScaleSheetLayoutView="100" workbookViewId="0">
      <selection activeCell="U16" sqref="U16"/>
    </sheetView>
  </sheetViews>
  <sheetFormatPr baseColWidth="10" defaultRowHeight="15"/>
  <cols>
    <col min="1" max="1" width="4" customWidth="1"/>
    <col min="2" max="2" width="2.28515625" customWidth="1"/>
    <col min="3" max="3" width="34.85546875" customWidth="1"/>
    <col min="4" max="4" width="8.42578125" style="177" customWidth="1"/>
    <col min="5" max="5" width="6.28515625" style="177" customWidth="1"/>
    <col min="6" max="6" width="5.7109375" style="177" customWidth="1"/>
    <col min="7" max="7" width="7.7109375" style="177" customWidth="1"/>
    <col min="8" max="8" width="5.85546875" style="177" customWidth="1"/>
    <col min="9" max="9" width="3.5703125" style="177" customWidth="1"/>
    <col min="10" max="10" width="8.42578125" style="177" customWidth="1"/>
    <col min="11" max="11" width="7.28515625" style="177" customWidth="1"/>
    <col min="12" max="12" width="9.7109375" customWidth="1"/>
    <col min="13" max="13" width="4.7109375" customWidth="1"/>
    <col min="14" max="14" width="4.85546875" customWidth="1"/>
    <col min="15" max="20" width="0" hidden="1" customWidth="1"/>
  </cols>
  <sheetData>
    <row r="1" spans="1:11" s="264" customFormat="1" ht="13.5">
      <c r="B1" s="5"/>
      <c r="C1" s="5"/>
      <c r="G1" s="704"/>
      <c r="H1" s="8"/>
      <c r="I1" s="8"/>
    </row>
    <row r="2" spans="1:11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11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11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11" ht="17.25" customHeight="1" thickTop="1" thickBot="1">
      <c r="B5" s="1013" t="s">
        <v>195</v>
      </c>
      <c r="C5" s="1014"/>
      <c r="D5" s="1014"/>
      <c r="E5" s="1014"/>
      <c r="F5" s="1014"/>
      <c r="G5" s="1014"/>
      <c r="H5" s="1014"/>
      <c r="I5" s="1014"/>
      <c r="J5" s="1014"/>
      <c r="K5" s="1015"/>
    </row>
    <row r="6" spans="1:11" ht="15.75" thickTop="1">
      <c r="B6" s="526"/>
      <c r="C6" s="527"/>
      <c r="D6" s="528"/>
      <c r="E6" s="178"/>
      <c r="F6" s="525"/>
      <c r="G6" s="178"/>
      <c r="H6" s="178"/>
      <c r="I6" s="178"/>
      <c r="J6" s="178"/>
      <c r="K6" s="179"/>
    </row>
    <row r="7" spans="1:11">
      <c r="B7" s="180" t="s">
        <v>196</v>
      </c>
      <c r="C7" s="181"/>
      <c r="D7" s="182"/>
      <c r="E7" s="183"/>
      <c r="F7" s="183"/>
      <c r="G7" s="183"/>
      <c r="H7" s="183"/>
      <c r="I7" s="183"/>
      <c r="J7" s="183"/>
      <c r="K7" s="184"/>
    </row>
    <row r="8" spans="1:11">
      <c r="B8" s="180"/>
      <c r="C8" s="181"/>
      <c r="D8" s="182"/>
      <c r="E8" s="183"/>
      <c r="F8" s="183"/>
      <c r="G8" s="183"/>
      <c r="H8" s="183"/>
      <c r="I8" s="183"/>
      <c r="J8" s="183"/>
      <c r="K8" s="184"/>
    </row>
    <row r="9" spans="1:11">
      <c r="B9" s="291" t="s">
        <v>133</v>
      </c>
      <c r="C9" s="185"/>
      <c r="D9" s="529" t="s">
        <v>134</v>
      </c>
      <c r="E9" s="183"/>
      <c r="F9" s="530" t="s">
        <v>135</v>
      </c>
      <c r="G9" s="186"/>
      <c r="H9" s="530" t="s">
        <v>136</v>
      </c>
      <c r="I9" s="183"/>
      <c r="J9" s="183"/>
      <c r="K9" s="184"/>
    </row>
    <row r="10" spans="1:11">
      <c r="A10">
        <v>41</v>
      </c>
      <c r="B10" s="187">
        <v>3</v>
      </c>
      <c r="C10" s="188" t="str">
        <f>VLOOKUP(A10,'Costo Equipos'!$1:$1048576,2,0)</f>
        <v>Camion Volcador 15 t</v>
      </c>
      <c r="D10" s="189">
        <f>+VLOOKUP(A10,'Costo Equipos'!$1:$1048576,4,0)</f>
        <v>160</v>
      </c>
      <c r="E10" s="186" t="s">
        <v>142</v>
      </c>
      <c r="F10" s="189">
        <f>+VLOOKUP(A10,'Costo Equipos'!$1:$1048576,14,0)</f>
        <v>2070.9581500000004</v>
      </c>
      <c r="G10" s="190" t="s">
        <v>161</v>
      </c>
      <c r="H10" s="189">
        <f>F10*B10</f>
        <v>6212.8744500000012</v>
      </c>
      <c r="I10" s="190" t="s">
        <v>143</v>
      </c>
      <c r="J10" s="186"/>
      <c r="K10" s="191"/>
    </row>
    <row r="11" spans="1:11">
      <c r="A11">
        <v>10</v>
      </c>
      <c r="B11" s="187">
        <v>1</v>
      </c>
      <c r="C11" s="188" t="str">
        <f>VLOOKUP(A11,'Costo Equipos'!$1:$1048576,2,0)</f>
        <v>Cargador frontal Hyundai, HL760-7 (3m³)</v>
      </c>
      <c r="D11" s="189">
        <f>+VLOOKUP(A11,'Costo Equipos'!$1:$1048576,4,0)</f>
        <v>215</v>
      </c>
      <c r="E11" s="186" t="s">
        <v>142</v>
      </c>
      <c r="F11" s="189">
        <f>+VLOOKUP(A11,'Costo Equipos'!$1:$1048576,14,0)</f>
        <v>2906.9546</v>
      </c>
      <c r="G11" s="190" t="s">
        <v>161</v>
      </c>
      <c r="H11" s="189">
        <f>F11*B11</f>
        <v>2906.9546</v>
      </c>
      <c r="I11" s="190" t="s">
        <v>143</v>
      </c>
      <c r="J11" s="186"/>
      <c r="K11" s="191"/>
    </row>
    <row r="12" spans="1:11">
      <c r="A12">
        <v>5</v>
      </c>
      <c r="B12" s="187">
        <v>1</v>
      </c>
      <c r="C12" s="188" t="str">
        <f>VLOOKUP(A12,'Costo Equipos'!$1:$1048576,2,0)</f>
        <v>Retroexcavadora Hyundai R210-7</v>
      </c>
      <c r="D12" s="189">
        <f>+VLOOKUP(A12,'Costo Equipos'!$1:$1048576,4,0)</f>
        <v>150</v>
      </c>
      <c r="E12" s="186" t="s">
        <v>142</v>
      </c>
      <c r="F12" s="189">
        <f>+VLOOKUP(A12,'Costo Equipos'!$1:$1048576,14,0)</f>
        <v>2181.8535000000002</v>
      </c>
      <c r="G12" s="190" t="str">
        <f>+G11</f>
        <v>$/d =</v>
      </c>
      <c r="H12" s="583">
        <f>F12*B12</f>
        <v>2181.8535000000002</v>
      </c>
      <c r="I12" s="584" t="s">
        <v>143</v>
      </c>
      <c r="J12" s="186"/>
      <c r="K12" s="191"/>
    </row>
    <row r="13" spans="1:11">
      <c r="B13" s="192"/>
      <c r="C13" s="193"/>
      <c r="D13" s="194">
        <f>+D10*B10+D11*B11+D12*B12</f>
        <v>845</v>
      </c>
      <c r="E13" s="186" t="s">
        <v>142</v>
      </c>
      <c r="F13" s="186"/>
      <c r="G13" s="183"/>
      <c r="H13" s="195"/>
      <c r="I13" s="195"/>
      <c r="J13" s="186">
        <f>SUM(H10:H12)</f>
        <v>11301.682550000001</v>
      </c>
      <c r="K13" s="191" t="s">
        <v>143</v>
      </c>
    </row>
    <row r="14" spans="1:11">
      <c r="B14" s="196"/>
      <c r="C14" s="181"/>
      <c r="D14" s="197"/>
      <c r="E14" s="198"/>
      <c r="F14" s="198"/>
      <c r="G14" s="198"/>
      <c r="H14" s="198"/>
      <c r="I14" s="198"/>
      <c r="J14" s="198"/>
      <c r="K14" s="199"/>
    </row>
    <row r="15" spans="1:11">
      <c r="B15" s="291" t="s">
        <v>145</v>
      </c>
      <c r="C15" s="185"/>
      <c r="D15" s="200"/>
      <c r="E15" s="530" t="s">
        <v>135</v>
      </c>
      <c r="F15" s="195"/>
      <c r="G15" s="530" t="s">
        <v>136</v>
      </c>
      <c r="H15" s="195"/>
      <c r="I15" s="195"/>
      <c r="J15" s="195"/>
      <c r="K15" s="201"/>
    </row>
    <row r="16" spans="1:11">
      <c r="A16">
        <v>5</v>
      </c>
      <c r="B16" s="192">
        <v>1</v>
      </c>
      <c r="C16" s="202" t="str">
        <f>IF(A16=1,"Oficial Especializado",IF(A16=2,"Oficial",IF(A16=3,"Medio oficial",IF(A16=4,"Ayudante",IF(A16=5,"Maquinista",0)))))</f>
        <v>Maquinista</v>
      </c>
      <c r="D16" s="203"/>
      <c r="E16" s="186">
        <f>+'Mano de Obra'!J47</f>
        <v>397.36</v>
      </c>
      <c r="F16" s="204" t="s">
        <v>146</v>
      </c>
      <c r="G16" s="186">
        <f>E16*B16</f>
        <v>397.36</v>
      </c>
      <c r="H16" s="204" t="s">
        <v>143</v>
      </c>
      <c r="I16" s="205"/>
      <c r="J16" s="183"/>
      <c r="K16" s="184"/>
    </row>
    <row r="17" spans="1:11">
      <c r="A17">
        <v>2</v>
      </c>
      <c r="B17" s="192">
        <v>4</v>
      </c>
      <c r="C17" s="202" t="str">
        <f t="shared" ref="C17:C18" si="0">IF(A17=1,"Oficial Especializado",IF(A17=2,"Oficial",IF(A17=3,"Medio oficial",IF(A17=4,"Ayudante",IF(A17=5,"Maquinista",0)))))</f>
        <v>Oficial</v>
      </c>
      <c r="D17" s="203"/>
      <c r="E17" s="186">
        <f>+'Mano de Obra'!G47</f>
        <v>338.59</v>
      </c>
      <c r="F17" s="204" t="s">
        <v>146</v>
      </c>
      <c r="G17" s="186">
        <f t="shared" ref="G17:G18" si="1">E17*B17</f>
        <v>1354.36</v>
      </c>
      <c r="H17" s="204" t="s">
        <v>143</v>
      </c>
      <c r="I17" s="205"/>
      <c r="J17" s="183"/>
      <c r="K17" s="184"/>
    </row>
    <row r="18" spans="1:11">
      <c r="A18">
        <v>4</v>
      </c>
      <c r="B18" s="192">
        <v>3</v>
      </c>
      <c r="C18" s="202" t="str">
        <f t="shared" si="0"/>
        <v>Ayudante</v>
      </c>
      <c r="D18" s="203"/>
      <c r="E18" s="186">
        <f>+'Mano de Obra'!I47</f>
        <v>286.54000000000002</v>
      </c>
      <c r="F18" s="204" t="s">
        <v>146</v>
      </c>
      <c r="G18" s="186">
        <f t="shared" si="1"/>
        <v>859.62000000000012</v>
      </c>
      <c r="H18" s="204" t="s">
        <v>143</v>
      </c>
      <c r="I18" s="205"/>
      <c r="J18" s="206">
        <f>SUM(G16:G18)</f>
        <v>2611.34</v>
      </c>
      <c r="K18" s="207" t="s">
        <v>143</v>
      </c>
    </row>
    <row r="19" spans="1:11">
      <c r="B19" s="208" t="s">
        <v>162</v>
      </c>
      <c r="C19" s="185"/>
      <c r="D19" s="200"/>
      <c r="E19" s="195"/>
      <c r="F19" s="195"/>
      <c r="G19" s="195"/>
      <c r="H19" s="195"/>
      <c r="I19" s="195"/>
      <c r="J19" s="186">
        <f>SUM(J13:J18)</f>
        <v>13913.022550000002</v>
      </c>
      <c r="K19" s="209" t="s">
        <v>143</v>
      </c>
    </row>
    <row r="20" spans="1:11">
      <c r="B20" s="208"/>
      <c r="C20" s="185"/>
      <c r="D20" s="200"/>
      <c r="E20" s="195"/>
      <c r="F20" s="195"/>
      <c r="G20" s="195"/>
      <c r="H20" s="195"/>
      <c r="I20" s="195"/>
      <c r="J20" s="186"/>
      <c r="K20" s="209"/>
    </row>
    <row r="21" spans="1:11">
      <c r="B21" s="292" t="s">
        <v>150</v>
      </c>
      <c r="C21" s="185"/>
      <c r="D21" s="203">
        <v>500</v>
      </c>
      <c r="E21" s="186" t="s">
        <v>163</v>
      </c>
      <c r="F21" s="195"/>
      <c r="G21" s="195"/>
      <c r="H21" s="195"/>
      <c r="I21" s="195"/>
      <c r="J21" s="195"/>
      <c r="K21" s="201"/>
    </row>
    <row r="22" spans="1:11">
      <c r="B22" s="291" t="s">
        <v>164</v>
      </c>
      <c r="C22" s="185"/>
      <c r="D22" s="186">
        <f>J19</f>
        <v>13913.022550000002</v>
      </c>
      <c r="E22" s="186" t="s">
        <v>154</v>
      </c>
      <c r="F22" s="189">
        <f>D21</f>
        <v>500</v>
      </c>
      <c r="G22" s="186" t="str">
        <f>E21</f>
        <v>m³/d</v>
      </c>
      <c r="H22" s="186" t="s">
        <v>155</v>
      </c>
      <c r="I22" s="190"/>
      <c r="J22" s="186">
        <f>ROUND(D22/F22,2)</f>
        <v>27.83</v>
      </c>
      <c r="K22" s="531" t="s">
        <v>91</v>
      </c>
    </row>
    <row r="23" spans="1:11">
      <c r="B23" s="291"/>
      <c r="C23" s="185"/>
      <c r="D23" s="203"/>
      <c r="E23" s="186"/>
      <c r="F23" s="189"/>
      <c r="G23" s="186"/>
      <c r="H23" s="186"/>
      <c r="I23" s="190"/>
      <c r="J23" s="186"/>
      <c r="K23" s="210"/>
    </row>
    <row r="24" spans="1:11">
      <c r="B24" s="291" t="s">
        <v>165</v>
      </c>
      <c r="C24" s="185"/>
      <c r="D24" s="203"/>
      <c r="E24" s="186"/>
      <c r="F24" s="189"/>
      <c r="G24" s="186"/>
      <c r="H24" s="186"/>
      <c r="I24" s="190"/>
      <c r="J24" s="186"/>
      <c r="K24" s="210"/>
    </row>
    <row r="25" spans="1:11">
      <c r="B25" s="291"/>
      <c r="C25" s="185" t="s">
        <v>226</v>
      </c>
      <c r="D25" s="203"/>
      <c r="E25" s="186"/>
      <c r="F25" s="189"/>
      <c r="G25" s="186"/>
      <c r="H25" s="186"/>
      <c r="I25" s="190"/>
      <c r="J25" s="186">
        <v>0</v>
      </c>
      <c r="K25" s="531" t="s">
        <v>91</v>
      </c>
    </row>
    <row r="26" spans="1:11">
      <c r="B26" s="292"/>
      <c r="C26" s="211"/>
      <c r="D26" s="212"/>
      <c r="E26" s="205"/>
      <c r="F26" s="137"/>
      <c r="G26" s="137"/>
      <c r="H26" s="137"/>
      <c r="I26" s="137"/>
      <c r="J26" s="213"/>
      <c r="K26" s="214"/>
    </row>
    <row r="27" spans="1:11">
      <c r="B27" s="291" t="s">
        <v>179</v>
      </c>
      <c r="C27" s="211"/>
      <c r="D27" s="186"/>
      <c r="E27" s="190"/>
      <c r="F27" s="137"/>
      <c r="G27" s="215"/>
      <c r="H27" s="190"/>
      <c r="I27" s="137"/>
      <c r="J27" s="216">
        <f>SUM(J22:J26)</f>
        <v>27.83</v>
      </c>
      <c r="K27" s="217" t="str">
        <f>+K25</f>
        <v>$/m³</v>
      </c>
    </row>
    <row r="28" spans="1:11" ht="15.75" thickBot="1">
      <c r="B28" s="159"/>
      <c r="C28" s="266"/>
      <c r="D28" s="218"/>
      <c r="E28" s="219"/>
      <c r="F28" s="220"/>
      <c r="G28" s="220"/>
      <c r="H28" s="220"/>
      <c r="I28" s="220"/>
      <c r="J28" s="221"/>
      <c r="K28" s="222"/>
    </row>
    <row r="29" spans="1:11" ht="15.75" thickTop="1"/>
  </sheetData>
  <mergeCells count="2">
    <mergeCell ref="B5:K5"/>
    <mergeCell ref="B2:K2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&amp;L&amp;"Arial,Normal"&amp;10Análisis Auxiliares&amp;R&amp;"Arial,Normal"&amp;10Pág. &amp;P de &amp;N   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M28"/>
  <sheetViews>
    <sheetView showGridLines="0" view="pageBreakPreview" topLeftCell="A15" zoomScaleNormal="100" zoomScaleSheetLayoutView="100" workbookViewId="0">
      <selection activeCell="U16" sqref="U16"/>
    </sheetView>
  </sheetViews>
  <sheetFormatPr baseColWidth="10" defaultRowHeight="15"/>
  <cols>
    <col min="1" max="1" width="6.7109375" style="5" customWidth="1"/>
    <col min="2" max="2" width="0.85546875" style="5" customWidth="1"/>
    <col min="3" max="3" width="2.7109375" style="264" customWidth="1"/>
    <col min="4" max="4" width="5.140625" style="264" customWidth="1"/>
    <col min="5" max="5" width="41.28515625" style="7" customWidth="1"/>
    <col min="6" max="6" width="6.42578125" style="264" customWidth="1"/>
    <col min="7" max="7" width="14.85546875" style="880" customWidth="1"/>
    <col min="8" max="8" width="14.85546875" style="8" customWidth="1"/>
    <col min="9" max="9" width="17.5703125" style="264" customWidth="1"/>
    <col min="10" max="10" width="16.140625" style="264" customWidth="1"/>
    <col min="11" max="12" width="11.42578125" style="264" customWidth="1"/>
    <col min="13" max="16384" width="11.42578125" style="264"/>
  </cols>
  <sheetData>
    <row r="1" spans="1:13">
      <c r="G1" s="704"/>
    </row>
    <row r="2" spans="1:13" ht="48.75" customHeight="1">
      <c r="C2" s="913" t="s">
        <v>406</v>
      </c>
      <c r="D2" s="914"/>
      <c r="E2" s="914"/>
      <c r="F2" s="914"/>
      <c r="G2" s="914"/>
      <c r="H2" s="914"/>
    </row>
    <row r="3" spans="1:13" ht="16.5" customHeight="1">
      <c r="C3" s="809"/>
      <c r="D3" s="808"/>
      <c r="E3" s="808"/>
      <c r="F3" s="808"/>
      <c r="G3" s="808"/>
      <c r="H3" s="808"/>
    </row>
    <row r="4" spans="1:13" ht="15" customHeight="1">
      <c r="C4" s="912" t="s">
        <v>401</v>
      </c>
      <c r="D4" s="912"/>
      <c r="E4" s="912"/>
      <c r="F4" s="912"/>
      <c r="G4" s="912"/>
      <c r="H4" s="912"/>
    </row>
    <row r="5" spans="1:13" ht="15" customHeight="1">
      <c r="C5" s="912" t="s">
        <v>408</v>
      </c>
      <c r="D5" s="912"/>
      <c r="E5" s="912"/>
      <c r="F5" s="912"/>
      <c r="G5" s="912"/>
      <c r="H5" s="912"/>
    </row>
    <row r="6" spans="1:13" s="831" customFormat="1" ht="15.75">
      <c r="A6" s="830"/>
      <c r="B6" s="830"/>
      <c r="C6" s="912"/>
      <c r="D6" s="912"/>
      <c r="E6" s="912"/>
      <c r="F6" s="912"/>
      <c r="G6" s="912"/>
      <c r="H6" s="912"/>
    </row>
    <row r="7" spans="1:13" s="831" customFormat="1" ht="13.5" customHeight="1" thickBot="1">
      <c r="A7" s="830"/>
      <c r="B7" s="830"/>
      <c r="C7" s="832"/>
      <c r="D7" s="832"/>
      <c r="E7" s="832"/>
      <c r="F7" s="832"/>
      <c r="G7" s="832"/>
      <c r="H7" s="832"/>
    </row>
    <row r="8" spans="1:13" ht="18" customHeight="1" thickTop="1" thickBot="1">
      <c r="C8" s="915" t="s">
        <v>373</v>
      </c>
      <c r="D8" s="917" t="s">
        <v>374</v>
      </c>
      <c r="E8" s="919" t="s">
        <v>375</v>
      </c>
      <c r="F8" s="921" t="s">
        <v>376</v>
      </c>
      <c r="G8" s="911" t="s">
        <v>402</v>
      </c>
      <c r="H8" s="1032"/>
    </row>
    <row r="9" spans="1:13" ht="18" customHeight="1" thickBot="1">
      <c r="C9" s="916"/>
      <c r="D9" s="918"/>
      <c r="E9" s="920"/>
      <c r="F9" s="922"/>
      <c r="G9" s="881" t="s">
        <v>403</v>
      </c>
      <c r="H9" s="1033" t="s">
        <v>168</v>
      </c>
    </row>
    <row r="10" spans="1:13" thickTop="1" thickBot="1">
      <c r="C10" s="833"/>
      <c r="D10" s="834"/>
      <c r="E10" s="834"/>
      <c r="F10" s="834"/>
      <c r="G10" s="835"/>
      <c r="H10" s="1034"/>
      <c r="K10" s="836"/>
      <c r="M10" s="837"/>
    </row>
    <row r="11" spans="1:13" ht="18" customHeight="1" thickTop="1">
      <c r="C11" s="838">
        <v>1</v>
      </c>
      <c r="D11" s="839"/>
      <c r="E11" s="909" t="s">
        <v>377</v>
      </c>
      <c r="F11" s="909"/>
      <c r="G11" s="909"/>
      <c r="H11" s="1035"/>
      <c r="I11" s="840"/>
      <c r="M11" s="837"/>
    </row>
    <row r="12" spans="1:13" ht="18" customHeight="1">
      <c r="A12" s="841"/>
      <c r="B12" s="841"/>
      <c r="C12" s="842"/>
      <c r="D12" s="843" t="s">
        <v>378</v>
      </c>
      <c r="E12" s="844" t="s">
        <v>379</v>
      </c>
      <c r="F12" s="845" t="s">
        <v>380</v>
      </c>
      <c r="G12" s="890">
        <f>+H12/'Coeficiente Resumen'!$D$19</f>
        <v>2362.2837277710923</v>
      </c>
      <c r="H12" s="889">
        <f>+'1.1'!D27/'Análisis Equipos'!$C$6</f>
        <v>3926.1155555555556</v>
      </c>
      <c r="I12" s="846"/>
      <c r="J12" s="888"/>
      <c r="K12" s="847"/>
      <c r="L12" s="848"/>
      <c r="M12" s="837"/>
    </row>
    <row r="13" spans="1:13" ht="27.75" customHeight="1" thickBot="1">
      <c r="A13" s="841"/>
      <c r="B13" s="841"/>
      <c r="C13" s="857"/>
      <c r="D13" s="858">
        <v>1.2</v>
      </c>
      <c r="E13" s="859" t="s">
        <v>381</v>
      </c>
      <c r="F13" s="860" t="s">
        <v>382</v>
      </c>
      <c r="G13" s="891">
        <f>+H13/'Coeficiente Resumen'!$D$19</f>
        <v>11.842492311806392</v>
      </c>
      <c r="H13" s="892">
        <f>+'1.2'!D30/'Análisis Equipos'!$C$6</f>
        <v>19.682222222222222</v>
      </c>
      <c r="I13" s="846"/>
      <c r="J13" s="846"/>
      <c r="K13" s="847"/>
      <c r="L13" s="848"/>
      <c r="M13" s="837"/>
    </row>
    <row r="14" spans="1:13" ht="18" customHeight="1" thickTop="1" thickBot="1">
      <c r="A14" s="841"/>
      <c r="B14" s="841"/>
      <c r="C14" s="893"/>
      <c r="D14" s="835"/>
      <c r="E14" s="835"/>
      <c r="F14" s="835"/>
      <c r="G14" s="888"/>
      <c r="H14" s="1043"/>
      <c r="I14" s="846"/>
      <c r="J14" s="846"/>
      <c r="K14" s="847"/>
      <c r="L14" s="848"/>
      <c r="M14" s="837"/>
    </row>
    <row r="15" spans="1:13" ht="18" customHeight="1" thickTop="1">
      <c r="A15" s="841"/>
      <c r="B15" s="841"/>
      <c r="C15" s="838">
        <v>2</v>
      </c>
      <c r="D15" s="854"/>
      <c r="E15" s="906" t="s">
        <v>383</v>
      </c>
      <c r="F15" s="855"/>
      <c r="G15" s="894"/>
      <c r="H15" s="895"/>
      <c r="I15" s="846"/>
      <c r="J15" s="846"/>
      <c r="K15" s="847"/>
      <c r="L15" s="848"/>
      <c r="M15" s="837"/>
    </row>
    <row r="16" spans="1:13" ht="18" customHeight="1">
      <c r="A16" s="841"/>
      <c r="B16" s="841"/>
      <c r="C16" s="842"/>
      <c r="D16" s="856" t="s">
        <v>384</v>
      </c>
      <c r="E16" s="844" t="s">
        <v>385</v>
      </c>
      <c r="F16" s="845" t="s">
        <v>382</v>
      </c>
      <c r="G16" s="890">
        <f>+H16/'Coeficiente Resumen'!$D$19</f>
        <v>139.10816954138255</v>
      </c>
      <c r="H16" s="889">
        <f>+Geobolsas!D35/'Análisis Equipos'!$C$6</f>
        <v>231.19777777777779</v>
      </c>
      <c r="I16" s="846"/>
      <c r="J16" s="846"/>
      <c r="K16" s="847"/>
      <c r="L16" s="848"/>
      <c r="M16" s="837"/>
    </row>
    <row r="17" spans="1:13" ht="27.75" customHeight="1">
      <c r="A17" s="841"/>
      <c r="B17" s="841"/>
      <c r="C17" s="842"/>
      <c r="D17" s="856" t="s">
        <v>386</v>
      </c>
      <c r="E17" s="850" t="s">
        <v>387</v>
      </c>
      <c r="F17" s="845" t="s">
        <v>388</v>
      </c>
      <c r="G17" s="890">
        <f>+H17/'Coeficiente Resumen'!$D$19</f>
        <v>26.280251370504079</v>
      </c>
      <c r="H17" s="889">
        <f>+Geoceldas!D35/'Análisis Equipos'!$C$6</f>
        <v>43.677777777777777</v>
      </c>
      <c r="I17" s="846"/>
      <c r="J17" s="846"/>
      <c r="K17" s="847"/>
      <c r="L17" s="848"/>
      <c r="M17" s="837"/>
    </row>
    <row r="18" spans="1:13" ht="18" customHeight="1">
      <c r="A18" s="841"/>
      <c r="B18" s="841"/>
      <c r="C18" s="842"/>
      <c r="D18" s="856" t="s">
        <v>389</v>
      </c>
      <c r="E18" s="844" t="s">
        <v>261</v>
      </c>
      <c r="F18" s="845" t="s">
        <v>388</v>
      </c>
      <c r="G18" s="890">
        <f>+H18/'Coeficiente Resumen'!$D$19</f>
        <v>1.787672148682979</v>
      </c>
      <c r="H18" s="889">
        <f>+Geotextil!E24/'Análisis Equipos'!$C$6</f>
        <v>2.971111111111111</v>
      </c>
      <c r="I18" s="846"/>
      <c r="J18" s="846"/>
      <c r="K18" s="847"/>
      <c r="L18" s="848"/>
      <c r="M18" s="837"/>
    </row>
    <row r="19" spans="1:13" ht="18" customHeight="1">
      <c r="A19" s="841"/>
      <c r="B19" s="841"/>
      <c r="C19" s="842"/>
      <c r="D19" s="856">
        <v>2.4</v>
      </c>
      <c r="E19" s="850" t="s">
        <v>390</v>
      </c>
      <c r="F19" s="845" t="s">
        <v>382</v>
      </c>
      <c r="G19" s="890">
        <f>+H19/'Coeficiente Resumen'!$D$19</f>
        <v>61.052279716539651</v>
      </c>
      <c r="H19" s="889">
        <f>+'Geotubos 1,5m2'!E41/'Análisis Equipos'!$C$6</f>
        <v>101.4688888888889</v>
      </c>
      <c r="I19" s="846"/>
      <c r="J19" s="846"/>
      <c r="K19" s="847"/>
      <c r="L19" s="848"/>
      <c r="M19" s="837"/>
    </row>
    <row r="20" spans="1:13" ht="18" customHeight="1" thickBot="1">
      <c r="A20" s="841"/>
      <c r="B20" s="841"/>
      <c r="C20" s="857"/>
      <c r="D20" s="858">
        <v>2.5</v>
      </c>
      <c r="E20" s="859" t="s">
        <v>391</v>
      </c>
      <c r="F20" s="860" t="s">
        <v>382</v>
      </c>
      <c r="G20" s="891">
        <f>+H20/'Coeficiente Resumen'!$D$19</f>
        <v>52.823906939430408</v>
      </c>
      <c r="H20" s="892">
        <f>+'Geotubos 3m2'!E41/'Análisis Equipos'!$C$6</f>
        <v>87.793333333333337</v>
      </c>
      <c r="I20" s="846"/>
      <c r="J20" s="846"/>
      <c r="K20" s="847"/>
      <c r="L20" s="848"/>
      <c r="M20" s="837"/>
    </row>
    <row r="21" spans="1:13" ht="18" customHeight="1" thickTop="1" thickBot="1">
      <c r="A21" s="841"/>
      <c r="B21" s="841"/>
      <c r="C21" s="896"/>
      <c r="D21" s="897"/>
      <c r="E21" s="898"/>
      <c r="F21" s="899"/>
      <c r="G21" s="888"/>
      <c r="H21" s="1043"/>
      <c r="I21" s="846"/>
      <c r="J21" s="846"/>
      <c r="K21" s="847"/>
      <c r="L21" s="848"/>
      <c r="M21" s="837"/>
    </row>
    <row r="22" spans="1:13" ht="18" customHeight="1" thickTop="1">
      <c r="A22" s="841"/>
      <c r="B22" s="841"/>
      <c r="C22" s="838">
        <v>3</v>
      </c>
      <c r="D22" s="854"/>
      <c r="E22" s="906" t="s">
        <v>392</v>
      </c>
      <c r="F22" s="855"/>
      <c r="G22" s="894"/>
      <c r="H22" s="895"/>
      <c r="I22" s="846"/>
      <c r="J22" s="846"/>
      <c r="K22" s="847"/>
      <c r="L22" s="848"/>
      <c r="M22" s="837"/>
    </row>
    <row r="23" spans="1:13" ht="18" customHeight="1">
      <c r="A23" s="841"/>
      <c r="B23" s="841"/>
      <c r="C23" s="865"/>
      <c r="D23" s="856" t="s">
        <v>393</v>
      </c>
      <c r="E23" s="866" t="s">
        <v>394</v>
      </c>
      <c r="F23" s="867" t="s">
        <v>395</v>
      </c>
      <c r="G23" s="890">
        <f>+H23/'Coeficiente Resumen'!$D$19</f>
        <v>1451.1111111111111</v>
      </c>
      <c r="H23" s="889">
        <f>+'3.1'!E38/'Análisis Equipos'!$C$6</f>
        <v>2411.7466666666664</v>
      </c>
      <c r="I23" s="868"/>
      <c r="J23" s="846"/>
      <c r="K23" s="847"/>
      <c r="L23" s="848"/>
      <c r="M23" s="837"/>
    </row>
    <row r="24" spans="1:13" ht="18" customHeight="1">
      <c r="A24" s="841"/>
      <c r="B24" s="841"/>
      <c r="C24" s="842"/>
      <c r="D24" s="856" t="s">
        <v>396</v>
      </c>
      <c r="E24" s="844" t="s">
        <v>397</v>
      </c>
      <c r="F24" s="845" t="s">
        <v>395</v>
      </c>
      <c r="G24" s="890">
        <f>+H24/'Coeficiente Resumen'!$D$19</f>
        <v>597.77777777777783</v>
      </c>
      <c r="H24" s="889">
        <f>+'3.2'!D15/'Análisis Equipos'!$C$6</f>
        <v>993.50666666666666</v>
      </c>
      <c r="I24" s="868"/>
      <c r="J24" s="846"/>
      <c r="K24" s="847"/>
      <c r="L24" s="848"/>
      <c r="M24" s="837"/>
    </row>
    <row r="25" spans="1:13" ht="18" customHeight="1" thickBot="1">
      <c r="A25" s="841"/>
      <c r="B25" s="841"/>
      <c r="C25" s="857"/>
      <c r="D25" s="869" t="s">
        <v>398</v>
      </c>
      <c r="E25" s="870" t="s">
        <v>399</v>
      </c>
      <c r="F25" s="860" t="s">
        <v>400</v>
      </c>
      <c r="G25" s="891">
        <f>+H25/'Coeficiente Resumen'!$D$19</f>
        <v>8392.5779181708804</v>
      </c>
      <c r="H25" s="892">
        <v>13948.464500000002</v>
      </c>
      <c r="I25" s="868" t="s">
        <v>407</v>
      </c>
      <c r="J25" s="908"/>
      <c r="K25" s="847"/>
      <c r="L25" s="848"/>
    </row>
    <row r="26" spans="1:13" thickTop="1">
      <c r="A26" s="841"/>
      <c r="B26" s="841"/>
      <c r="C26" s="900"/>
      <c r="D26" s="900"/>
      <c r="E26" s="901"/>
      <c r="F26" s="899"/>
      <c r="G26" s="883"/>
      <c r="H26" s="874"/>
      <c r="J26" s="908"/>
      <c r="K26" s="840"/>
    </row>
    <row r="27" spans="1:13" ht="14.25">
      <c r="C27" s="875"/>
      <c r="D27" s="876"/>
      <c r="E27" s="877"/>
      <c r="F27" s="876"/>
      <c r="G27" s="910"/>
      <c r="H27" s="910"/>
      <c r="J27" s="878"/>
    </row>
    <row r="28" spans="1:13">
      <c r="G28" s="879"/>
    </row>
  </sheetData>
  <mergeCells count="11">
    <mergeCell ref="E11:G11"/>
    <mergeCell ref="G27:H27"/>
    <mergeCell ref="C5:H5"/>
    <mergeCell ref="C2:H2"/>
    <mergeCell ref="C4:H4"/>
    <mergeCell ref="C6:H6"/>
    <mergeCell ref="C8:C9"/>
    <mergeCell ref="D8:D9"/>
    <mergeCell ref="E8:E9"/>
    <mergeCell ref="F8:F9"/>
    <mergeCell ref="G8:H8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P55"/>
  <sheetViews>
    <sheetView showGridLines="0" view="pageBreakPreview" topLeftCell="A25" zoomScaleNormal="100" zoomScaleSheetLayoutView="100" workbookViewId="0">
      <selection activeCell="Q51" sqref="Q51"/>
    </sheetView>
  </sheetViews>
  <sheetFormatPr baseColWidth="10" defaultRowHeight="15"/>
  <cols>
    <col min="1" max="1" width="4.28515625" customWidth="1"/>
    <col min="2" max="2" width="1.5703125" customWidth="1"/>
    <col min="3" max="3" width="2.7109375" customWidth="1"/>
    <col min="4" max="4" width="2.140625" customWidth="1"/>
    <col min="5" max="5" width="5.42578125" customWidth="1"/>
    <col min="6" max="6" width="8" customWidth="1"/>
    <col min="7" max="7" width="10.28515625" customWidth="1"/>
    <col min="8" max="8" width="10.140625" customWidth="1"/>
    <col min="9" max="9" width="4" customWidth="1"/>
    <col min="10" max="10" width="9" style="177" customWidth="1"/>
    <col min="11" max="11" width="5.85546875" customWidth="1"/>
    <col min="12" max="12" width="11.140625" style="177" customWidth="1"/>
    <col min="13" max="13" width="9.7109375" customWidth="1"/>
    <col min="14" max="14" width="4.7109375" customWidth="1"/>
    <col min="15" max="15" width="3" customWidth="1"/>
    <col min="16" max="16" width="16.42578125" customWidth="1"/>
  </cols>
  <sheetData>
    <row r="1" spans="1:16" ht="18" customHeight="1" thickTop="1" thickBot="1">
      <c r="C1" s="986" t="s">
        <v>208</v>
      </c>
      <c r="D1" s="987"/>
      <c r="E1" s="987"/>
      <c r="F1" s="987"/>
      <c r="G1" s="987"/>
      <c r="H1" s="987"/>
      <c r="I1" s="987"/>
      <c r="J1" s="987"/>
      <c r="K1" s="987"/>
      <c r="L1" s="987"/>
      <c r="M1" s="987"/>
      <c r="N1" s="987"/>
      <c r="O1" s="988"/>
    </row>
    <row r="2" spans="1:16" ht="7.5" customHeight="1" thickTop="1">
      <c r="C2" s="532"/>
      <c r="D2" s="533"/>
      <c r="E2" s="533"/>
      <c r="F2" s="533"/>
      <c r="G2" s="533"/>
      <c r="H2" s="533"/>
      <c r="I2" s="533"/>
      <c r="J2" s="534"/>
      <c r="K2" s="533"/>
      <c r="L2" s="534"/>
      <c r="M2" s="533"/>
      <c r="N2" s="533"/>
      <c r="O2" s="535"/>
    </row>
    <row r="3" spans="1:16" ht="12" customHeight="1">
      <c r="C3" s="180" t="s">
        <v>209</v>
      </c>
      <c r="D3" s="241" t="s">
        <v>210</v>
      </c>
      <c r="E3" s="536"/>
      <c r="F3" s="536"/>
      <c r="G3" s="536"/>
      <c r="H3" s="536"/>
      <c r="I3" s="536"/>
      <c r="J3" s="537"/>
      <c r="K3" s="536"/>
      <c r="L3" s="537"/>
      <c r="M3" s="536"/>
      <c r="N3" s="536"/>
      <c r="O3" s="538"/>
    </row>
    <row r="4" spans="1:16" ht="12" customHeight="1">
      <c r="C4" s="539"/>
      <c r="D4" s="536"/>
      <c r="E4" s="242" t="s">
        <v>211</v>
      </c>
      <c r="F4" s="536"/>
      <c r="G4" s="536"/>
      <c r="H4" s="536"/>
      <c r="I4" s="536"/>
      <c r="J4" s="537" t="s">
        <v>134</v>
      </c>
      <c r="K4" s="536"/>
      <c r="L4" s="540" t="s">
        <v>135</v>
      </c>
      <c r="M4" s="540" t="s">
        <v>136</v>
      </c>
      <c r="N4" s="536"/>
      <c r="O4" s="538"/>
    </row>
    <row r="5" spans="1:16" s="6" customFormat="1" ht="12" customHeight="1">
      <c r="A5" s="6">
        <v>82</v>
      </c>
      <c r="C5" s="541"/>
      <c r="D5" s="542"/>
      <c r="E5" s="543">
        <v>1</v>
      </c>
      <c r="F5" s="536" t="str">
        <f>VLOOKUP(A5,'Costo Equipos'!$1:$1048576,2,0)</f>
        <v>Hormigonera</v>
      </c>
      <c r="G5" s="536"/>
      <c r="H5" s="536"/>
      <c r="I5" s="542"/>
      <c r="J5" s="544">
        <f>VLOOKUP(A5,'Costo Equipos'!$1:$1048576,23,0)</f>
        <v>0</v>
      </c>
      <c r="K5" s="542" t="s">
        <v>142</v>
      </c>
      <c r="L5" s="545">
        <f>VLOOKUP(A5,'Costo Equipos'!$1:$1048576,48,0)</f>
        <v>0</v>
      </c>
      <c r="M5" s="545">
        <f>+L5*E5</f>
        <v>0</v>
      </c>
      <c r="N5" s="542"/>
      <c r="O5" s="546"/>
      <c r="P5" s="243"/>
    </row>
    <row r="6" spans="1:16" ht="12" customHeight="1">
      <c r="A6">
        <v>44</v>
      </c>
      <c r="C6" s="539"/>
      <c r="D6" s="536"/>
      <c r="E6" s="540">
        <v>1</v>
      </c>
      <c r="F6" s="536" t="str">
        <f>VLOOKUP(A6,'Costo Equipos'!$1:$1048576,2,0)</f>
        <v>Herramientas menores</v>
      </c>
      <c r="G6" s="536"/>
      <c r="H6" s="536"/>
      <c r="I6" s="536"/>
      <c r="J6" s="544">
        <f>VLOOKUP(A6,'Costo Equipos'!$1:$1048576,23,0)</f>
        <v>0</v>
      </c>
      <c r="K6" s="536" t="s">
        <v>142</v>
      </c>
      <c r="L6" s="545">
        <f>VLOOKUP(A6,'Costo Equipos'!$1:$1048576,48,0)</f>
        <v>0</v>
      </c>
      <c r="M6" s="545">
        <f t="shared" ref="M6:M9" si="0">+L6*E6</f>
        <v>0</v>
      </c>
      <c r="N6" s="536"/>
      <c r="O6" s="538"/>
      <c r="P6" s="113"/>
    </row>
    <row r="7" spans="1:16" ht="12" customHeight="1">
      <c r="A7">
        <v>57</v>
      </c>
      <c r="C7" s="539"/>
      <c r="D7" s="536"/>
      <c r="E7" s="540">
        <v>0.1</v>
      </c>
      <c r="F7" s="536" t="str">
        <f>VLOOKUP(A7,'Costo Equipos'!$1:$1048576,2,0)</f>
        <v>Grupo electrógeno 250kWa</v>
      </c>
      <c r="G7" s="536"/>
      <c r="H7" s="536"/>
      <c r="I7" s="536"/>
      <c r="J7" s="544">
        <f>VLOOKUP(A7,'Costo Equipos'!$1:$1048576,23,0)</f>
        <v>0</v>
      </c>
      <c r="K7" s="536" t="s">
        <v>142</v>
      </c>
      <c r="L7" s="545">
        <f>VLOOKUP(A7,'Costo Equipos'!$1:$1048576,48,0)</f>
        <v>0</v>
      </c>
      <c r="M7" s="545">
        <f t="shared" si="0"/>
        <v>0</v>
      </c>
      <c r="N7" s="536"/>
      <c r="O7" s="538"/>
      <c r="P7" s="113"/>
    </row>
    <row r="8" spans="1:16" ht="12" customHeight="1">
      <c r="A8">
        <v>58</v>
      </c>
      <c r="C8" s="539"/>
      <c r="D8" s="536"/>
      <c r="E8" s="540">
        <v>1</v>
      </c>
      <c r="F8" s="536" t="str">
        <f>VLOOKUP(A8,'Costo Equipos'!$1:$1048576,2,0)</f>
        <v>Silos para cemento</v>
      </c>
      <c r="G8" s="536"/>
      <c r="H8" s="536"/>
      <c r="I8" s="536"/>
      <c r="J8" s="544">
        <f>VLOOKUP(A8,'Costo Equipos'!$1:$1048576,23,0)</f>
        <v>0</v>
      </c>
      <c r="K8" s="536" t="s">
        <v>142</v>
      </c>
      <c r="L8" s="545">
        <f>VLOOKUP(A8,'Costo Equipos'!$1:$1048576,48,0)</f>
        <v>0</v>
      </c>
      <c r="M8" s="545">
        <f t="shared" si="0"/>
        <v>0</v>
      </c>
      <c r="N8" s="536"/>
      <c r="O8" s="538"/>
      <c r="P8" s="114"/>
    </row>
    <row r="9" spans="1:16" ht="12" customHeight="1">
      <c r="A9">
        <v>59</v>
      </c>
      <c r="C9" s="539"/>
      <c r="D9" s="536"/>
      <c r="E9" s="540">
        <v>1</v>
      </c>
      <c r="F9" s="536" t="str">
        <f>VLOOKUP(A9,'Costo Equipos'!$1:$1048576,2,0)</f>
        <v>Depósito de agua</v>
      </c>
      <c r="G9" s="536"/>
      <c r="H9" s="536"/>
      <c r="I9" s="536"/>
      <c r="J9" s="544">
        <f>VLOOKUP(A9,'Costo Equipos'!$1:$1048576,23,0)</f>
        <v>0</v>
      </c>
      <c r="K9" s="536" t="s">
        <v>142</v>
      </c>
      <c r="L9" s="545">
        <f>VLOOKUP(A9,'Costo Equipos'!$1:$1048576,48,0)</f>
        <v>0</v>
      </c>
      <c r="M9" s="545">
        <f t="shared" si="0"/>
        <v>0</v>
      </c>
      <c r="N9" s="536"/>
      <c r="O9" s="538"/>
      <c r="P9" s="114"/>
    </row>
    <row r="10" spans="1:16" ht="12" customHeight="1">
      <c r="C10" s="539"/>
      <c r="D10" s="536"/>
      <c r="E10" s="536" t="s">
        <v>4</v>
      </c>
      <c r="F10" s="536"/>
      <c r="G10" s="536"/>
      <c r="H10" s="536"/>
      <c r="I10" s="536"/>
      <c r="J10" s="547">
        <f>+J5*E5+J6*E6+J7*E7</f>
        <v>0</v>
      </c>
      <c r="K10" s="536" t="str">
        <f>+K7</f>
        <v>HP</v>
      </c>
      <c r="L10" s="548"/>
      <c r="M10" s="549">
        <f>SUM(M5:M9)</f>
        <v>0</v>
      </c>
      <c r="N10" s="536"/>
      <c r="O10" s="538"/>
      <c r="P10" s="114"/>
    </row>
    <row r="11" spans="1:16" ht="5.25" customHeight="1">
      <c r="C11" s="539"/>
      <c r="D11" s="536"/>
      <c r="E11" s="536"/>
      <c r="F11" s="536"/>
      <c r="G11" s="536"/>
      <c r="H11" s="536"/>
      <c r="I11" s="536"/>
      <c r="J11" s="537"/>
      <c r="K11" s="536"/>
      <c r="L11" s="537"/>
      <c r="M11" s="536"/>
      <c r="N11" s="536"/>
      <c r="O11" s="538"/>
      <c r="P11" s="114"/>
    </row>
    <row r="12" spans="1:16" ht="8.25" customHeight="1">
      <c r="C12" s="539"/>
      <c r="D12" s="536"/>
      <c r="E12" s="536"/>
      <c r="F12" s="536"/>
      <c r="G12" s="536"/>
      <c r="H12" s="536"/>
      <c r="I12" s="536"/>
      <c r="J12" s="537"/>
      <c r="K12" s="536"/>
      <c r="L12" s="537"/>
      <c r="M12" s="536"/>
      <c r="N12" s="536"/>
      <c r="O12" s="538"/>
    </row>
    <row r="13" spans="1:16" ht="12" customHeight="1">
      <c r="C13" s="539"/>
      <c r="D13" s="536"/>
      <c r="E13" s="242" t="s">
        <v>1</v>
      </c>
      <c r="F13" s="241"/>
      <c r="G13" s="241"/>
      <c r="H13" s="536"/>
      <c r="I13" s="536"/>
      <c r="J13" s="550"/>
      <c r="K13" s="536"/>
      <c r="L13" s="537" t="s">
        <v>135</v>
      </c>
      <c r="M13" s="536" t="s">
        <v>136</v>
      </c>
      <c r="N13" s="536"/>
      <c r="O13" s="538"/>
    </row>
    <row r="14" spans="1:16" ht="12" customHeight="1">
      <c r="A14">
        <v>2</v>
      </c>
      <c r="C14" s="1016">
        <v>1</v>
      </c>
      <c r="D14" s="1017"/>
      <c r="E14" s="536" t="str">
        <f t="shared" ref="E14:E15" si="1">IF(A14=1,"Oficial Especializado",IF(A14=2,"Oficial",IF(A14=3,"Medio oficial",IF(A14=4,"Ayudante",IF(A14=5,"Maquinista",0)))))</f>
        <v>Oficial</v>
      </c>
      <c r="F14" s="536"/>
      <c r="G14" s="536"/>
      <c r="H14" s="536"/>
      <c r="I14" s="537"/>
      <c r="J14" s="550"/>
      <c r="K14" s="536"/>
      <c r="L14" s="545">
        <f>+'Mano de Obra'!G47</f>
        <v>338.59</v>
      </c>
      <c r="M14" s="545">
        <f>+L14*C14</f>
        <v>338.59</v>
      </c>
      <c r="N14" s="536"/>
      <c r="O14" s="538"/>
    </row>
    <row r="15" spans="1:16" ht="12" customHeight="1">
      <c r="A15">
        <v>4</v>
      </c>
      <c r="C15" s="1016">
        <v>3</v>
      </c>
      <c r="D15" s="1017"/>
      <c r="E15" s="536" t="str">
        <f t="shared" si="1"/>
        <v>Ayudante</v>
      </c>
      <c r="F15" s="536"/>
      <c r="G15" s="536"/>
      <c r="H15" s="536"/>
      <c r="I15" s="537"/>
      <c r="J15" s="550"/>
      <c r="K15" s="551"/>
      <c r="L15" s="545">
        <f>+'Mano de Obra'!I47</f>
        <v>286.54000000000002</v>
      </c>
      <c r="M15" s="545">
        <f>+L15*C15</f>
        <v>859.62000000000012</v>
      </c>
      <c r="N15" s="536"/>
      <c r="O15" s="538"/>
    </row>
    <row r="16" spans="1:16" ht="12" customHeight="1">
      <c r="C16" s="539"/>
      <c r="D16" s="536"/>
      <c r="E16" s="536"/>
      <c r="F16" s="536"/>
      <c r="G16" s="536"/>
      <c r="H16" s="536"/>
      <c r="I16" s="537"/>
      <c r="J16" s="540"/>
      <c r="K16" s="551"/>
      <c r="L16" s="550"/>
      <c r="M16" s="552">
        <f>SUM(M14:M15)</f>
        <v>1198.21</v>
      </c>
      <c r="N16" s="536"/>
      <c r="O16" s="538"/>
    </row>
    <row r="17" spans="1:16" ht="5.25" customHeight="1">
      <c r="C17" s="539"/>
      <c r="D17" s="536"/>
      <c r="E17" s="536"/>
      <c r="F17" s="536"/>
      <c r="G17" s="536"/>
      <c r="H17" s="536"/>
      <c r="I17" s="537"/>
      <c r="J17" s="540"/>
      <c r="K17" s="551"/>
      <c r="L17" s="540"/>
      <c r="M17" s="536"/>
      <c r="N17" s="553"/>
      <c r="O17" s="538"/>
    </row>
    <row r="18" spans="1:16" ht="12" customHeight="1">
      <c r="C18" s="539"/>
      <c r="D18" s="536"/>
      <c r="E18" s="536" t="s">
        <v>162</v>
      </c>
      <c r="F18" s="536"/>
      <c r="G18" s="536"/>
      <c r="H18" s="536"/>
      <c r="I18" s="536"/>
      <c r="J18" s="537"/>
      <c r="K18" s="536"/>
      <c r="L18" s="537"/>
      <c r="M18" s="244">
        <f>+M16+M10</f>
        <v>1198.21</v>
      </c>
      <c r="N18" s="241"/>
      <c r="O18" s="538"/>
    </row>
    <row r="19" spans="1:16" ht="12" customHeight="1">
      <c r="C19" s="539"/>
      <c r="D19" s="536"/>
      <c r="E19" s="536" t="s">
        <v>212</v>
      </c>
      <c r="F19" s="536"/>
      <c r="G19" s="536"/>
      <c r="H19" s="536">
        <v>20</v>
      </c>
      <c r="I19" s="536" t="s">
        <v>163</v>
      </c>
      <c r="J19" s="537"/>
      <c r="K19" s="536"/>
      <c r="L19" s="537"/>
      <c r="M19" s="536"/>
      <c r="N19" s="536"/>
      <c r="O19" s="538"/>
    </row>
    <row r="20" spans="1:16" ht="12" customHeight="1">
      <c r="C20" s="539"/>
      <c r="D20" s="536"/>
      <c r="E20" s="536" t="s">
        <v>213</v>
      </c>
      <c r="F20" s="536"/>
      <c r="G20" s="536"/>
      <c r="H20" s="554">
        <f>+M18</f>
        <v>1198.21</v>
      </c>
      <c r="I20" s="554" t="s">
        <v>143</v>
      </c>
      <c r="J20" s="537" t="s">
        <v>214</v>
      </c>
      <c r="K20" s="537">
        <f>+H19</f>
        <v>20</v>
      </c>
      <c r="L20" s="537" t="s">
        <v>215</v>
      </c>
      <c r="M20" s="245">
        <f>+H20/K20</f>
        <v>59.910499999999999</v>
      </c>
      <c r="N20" s="241" t="s">
        <v>91</v>
      </c>
      <c r="O20" s="538"/>
    </row>
    <row r="21" spans="1:16" ht="9.75" customHeight="1" thickBot="1">
      <c r="C21" s="555"/>
      <c r="D21" s="556"/>
      <c r="E21" s="556"/>
      <c r="F21" s="556"/>
      <c r="G21" s="556"/>
      <c r="H21" s="556"/>
      <c r="I21" s="556"/>
      <c r="J21" s="557"/>
      <c r="K21" s="556"/>
      <c r="L21" s="557"/>
      <c r="M21" s="556"/>
      <c r="N21" s="556"/>
      <c r="O21" s="558"/>
    </row>
    <row r="22" spans="1:16" ht="12" customHeight="1" thickTop="1">
      <c r="C22" s="539"/>
      <c r="D22" s="536"/>
      <c r="E22" s="536"/>
      <c r="F22" s="536"/>
      <c r="G22" s="536"/>
      <c r="H22" s="536"/>
      <c r="I22" s="536"/>
      <c r="J22" s="537"/>
      <c r="K22" s="536"/>
      <c r="L22" s="537"/>
      <c r="M22" s="536"/>
      <c r="N22" s="536"/>
      <c r="O22" s="538"/>
    </row>
    <row r="23" spans="1:16" ht="12" customHeight="1">
      <c r="C23" s="180" t="s">
        <v>216</v>
      </c>
      <c r="D23" s="241" t="s">
        <v>217</v>
      </c>
      <c r="E23" s="536"/>
      <c r="F23" s="536"/>
      <c r="G23" s="536"/>
      <c r="H23" s="536"/>
      <c r="I23" s="536"/>
      <c r="J23" s="537"/>
      <c r="K23" s="536"/>
      <c r="L23" s="537"/>
      <c r="M23" s="536"/>
      <c r="N23" s="536"/>
      <c r="O23" s="538"/>
    </row>
    <row r="24" spans="1:16" ht="12" customHeight="1">
      <c r="C24" s="539"/>
      <c r="D24" s="536"/>
      <c r="E24" s="242" t="s">
        <v>211</v>
      </c>
      <c r="F24" s="536"/>
      <c r="G24" s="536"/>
      <c r="H24" s="536"/>
      <c r="I24" s="536"/>
      <c r="J24" s="537" t="s">
        <v>134</v>
      </c>
      <c r="K24" s="536"/>
      <c r="L24" s="537" t="s">
        <v>135</v>
      </c>
      <c r="M24" s="536" t="s">
        <v>136</v>
      </c>
      <c r="N24" s="536"/>
      <c r="O24" s="538"/>
    </row>
    <row r="25" spans="1:16" ht="12" customHeight="1">
      <c r="A25" s="177">
        <v>44</v>
      </c>
      <c r="B25" s="177"/>
      <c r="C25" s="539"/>
      <c r="D25" s="536"/>
      <c r="E25" s="540">
        <v>1</v>
      </c>
      <c r="F25" s="536" t="str">
        <f>VLOOKUP(A25,'Costo Equipos'!$1:$1048576,2,0)</f>
        <v>Herramientas menores</v>
      </c>
      <c r="G25" s="536"/>
      <c r="H25" s="536"/>
      <c r="I25" s="536"/>
      <c r="J25" s="544">
        <f>VLOOKUP(A25,'Costo Equipos'!$1:$1048576,23,0)</f>
        <v>0</v>
      </c>
      <c r="K25" s="536" t="s">
        <v>142</v>
      </c>
      <c r="L25" s="545">
        <f>VLOOKUP(A25,'Costo Equipos'!$1:$1048576,48,0)</f>
        <v>0</v>
      </c>
      <c r="M25" s="545">
        <f>+E25*L25</f>
        <v>0</v>
      </c>
      <c r="N25" s="536"/>
      <c r="O25" s="538"/>
      <c r="P25" s="113"/>
    </row>
    <row r="26" spans="1:16" ht="12" customHeight="1">
      <c r="C26" s="539"/>
      <c r="D26" s="536"/>
      <c r="E26" s="536"/>
      <c r="F26" s="536"/>
      <c r="G26" s="536"/>
      <c r="H26" s="536"/>
      <c r="I26" s="536"/>
      <c r="J26" s="537"/>
      <c r="K26" s="536"/>
      <c r="L26" s="537"/>
      <c r="M26" s="536"/>
      <c r="N26" s="536"/>
      <c r="O26" s="538"/>
      <c r="P26" s="113"/>
    </row>
    <row r="27" spans="1:16" ht="12" customHeight="1">
      <c r="C27" s="539"/>
      <c r="D27" s="536"/>
      <c r="E27" s="536"/>
      <c r="F27" s="536"/>
      <c r="G27" s="536"/>
      <c r="H27" s="536"/>
      <c r="I27" s="536"/>
      <c r="J27" s="537"/>
      <c r="K27" s="536"/>
      <c r="L27" s="537"/>
      <c r="M27" s="536"/>
      <c r="N27" s="536"/>
      <c r="O27" s="538"/>
    </row>
    <row r="28" spans="1:16" ht="12" customHeight="1">
      <c r="C28" s="539"/>
      <c r="D28" s="536"/>
      <c r="E28" s="246" t="s">
        <v>1</v>
      </c>
      <c r="F28" s="536"/>
      <c r="G28" s="536"/>
      <c r="H28" s="536"/>
      <c r="I28" s="536"/>
      <c r="J28" s="537"/>
      <c r="K28" s="536"/>
      <c r="L28" s="537" t="s">
        <v>135</v>
      </c>
      <c r="M28" s="536" t="s">
        <v>136</v>
      </c>
      <c r="N28" s="536"/>
      <c r="O28" s="538"/>
    </row>
    <row r="29" spans="1:16" ht="12" customHeight="1">
      <c r="A29">
        <v>4</v>
      </c>
      <c r="C29" s="1016">
        <v>3</v>
      </c>
      <c r="D29" s="1017"/>
      <c r="E29" s="536" t="str">
        <f>IF(A29=1,"Oficial Especializado",IF(A29=2,"Oficial",IF(A29=3,"Medio oficial",IF(A29=4,"Ayudante",IF(A29=5,"Maquinista",0)))))</f>
        <v>Ayudante</v>
      </c>
      <c r="F29" s="536"/>
      <c r="G29" s="536"/>
      <c r="H29" s="536"/>
      <c r="I29" s="537"/>
      <c r="J29" s="550"/>
      <c r="K29" s="536"/>
      <c r="L29" s="545">
        <f>+'Mano de Obra'!I47</f>
        <v>286.54000000000002</v>
      </c>
      <c r="M29" s="548">
        <f>+L29*C29</f>
        <v>859.62000000000012</v>
      </c>
      <c r="N29" s="536"/>
      <c r="O29" s="538"/>
    </row>
    <row r="30" spans="1:16" ht="12" customHeight="1">
      <c r="C30" s="539"/>
      <c r="D30" s="536"/>
      <c r="E30" s="536"/>
      <c r="F30" s="536"/>
      <c r="G30" s="536"/>
      <c r="H30" s="536"/>
      <c r="I30" s="537"/>
      <c r="J30" s="540"/>
      <c r="K30" s="551"/>
      <c r="L30" s="540"/>
      <c r="M30" s="536"/>
      <c r="N30" s="536"/>
      <c r="O30" s="538"/>
    </row>
    <row r="31" spans="1:16" ht="12" customHeight="1">
      <c r="C31" s="539"/>
      <c r="D31" s="536"/>
      <c r="E31" s="536" t="s">
        <v>162</v>
      </c>
      <c r="F31" s="536"/>
      <c r="G31" s="536"/>
      <c r="H31" s="536"/>
      <c r="I31" s="536"/>
      <c r="J31" s="537"/>
      <c r="K31" s="536"/>
      <c r="L31" s="537"/>
      <c r="M31" s="247">
        <f>SUM(M25:M29)</f>
        <v>859.62000000000012</v>
      </c>
      <c r="N31" s="241"/>
      <c r="O31" s="538"/>
    </row>
    <row r="32" spans="1:16" ht="12" customHeight="1">
      <c r="C32" s="539"/>
      <c r="D32" s="536"/>
      <c r="E32" s="536" t="s">
        <v>212</v>
      </c>
      <c r="F32" s="536"/>
      <c r="G32" s="536"/>
      <c r="H32" s="537">
        <v>20</v>
      </c>
      <c r="I32" s="536" t="s">
        <v>218</v>
      </c>
      <c r="J32" s="537"/>
      <c r="K32" s="536"/>
      <c r="L32" s="537"/>
      <c r="M32" s="536"/>
      <c r="N32" s="536"/>
      <c r="O32" s="538"/>
    </row>
    <row r="33" spans="1:16" ht="12" customHeight="1">
      <c r="C33" s="539"/>
      <c r="D33" s="536"/>
      <c r="E33" s="536" t="s">
        <v>213</v>
      </c>
      <c r="F33" s="536"/>
      <c r="G33" s="536"/>
      <c r="H33" s="554">
        <f>+M31</f>
        <v>859.62000000000012</v>
      </c>
      <c r="I33" s="554" t="s">
        <v>143</v>
      </c>
      <c r="J33" s="537" t="s">
        <v>214</v>
      </c>
      <c r="K33" s="537">
        <f>+H32</f>
        <v>20</v>
      </c>
      <c r="L33" s="537" t="s">
        <v>219</v>
      </c>
      <c r="M33" s="245">
        <f>+H33/K33</f>
        <v>42.981000000000009</v>
      </c>
      <c r="N33" s="241" t="s">
        <v>91</v>
      </c>
      <c r="O33" s="538"/>
    </row>
    <row r="34" spans="1:16" ht="12" customHeight="1" thickBot="1">
      <c r="C34" s="555"/>
      <c r="D34" s="556"/>
      <c r="E34" s="556"/>
      <c r="F34" s="556"/>
      <c r="G34" s="556"/>
      <c r="H34" s="556"/>
      <c r="I34" s="556"/>
      <c r="J34" s="557"/>
      <c r="K34" s="556"/>
      <c r="L34" s="557"/>
      <c r="M34" s="556"/>
      <c r="N34" s="556"/>
      <c r="O34" s="558"/>
    </row>
    <row r="35" spans="1:16" ht="12" customHeight="1" thickTop="1">
      <c r="C35" s="539"/>
      <c r="D35" s="536"/>
      <c r="E35" s="536"/>
      <c r="F35" s="536"/>
      <c r="G35" s="536"/>
      <c r="H35" s="536"/>
      <c r="I35" s="536"/>
      <c r="J35" s="537"/>
      <c r="K35" s="536"/>
      <c r="L35" s="537"/>
      <c r="M35" s="536"/>
      <c r="N35" s="536"/>
      <c r="O35" s="538"/>
    </row>
    <row r="36" spans="1:16" ht="12" customHeight="1">
      <c r="C36" s="539" t="s">
        <v>220</v>
      </c>
      <c r="D36" s="241" t="s">
        <v>221</v>
      </c>
      <c r="E36" s="536"/>
      <c r="F36" s="536"/>
      <c r="G36" s="536"/>
      <c r="H36" s="536"/>
      <c r="I36" s="536"/>
      <c r="J36" s="537"/>
      <c r="K36" s="536"/>
      <c r="L36" s="537"/>
      <c r="M36" s="536"/>
      <c r="N36" s="536"/>
      <c r="O36" s="538"/>
    </row>
    <row r="37" spans="1:16" ht="12" customHeight="1">
      <c r="C37" s="539"/>
      <c r="D37" s="536"/>
      <c r="E37" s="246" t="s">
        <v>211</v>
      </c>
      <c r="F37" s="536"/>
      <c r="G37" s="536"/>
      <c r="H37" s="536"/>
      <c r="I37" s="536"/>
      <c r="J37" s="537" t="s">
        <v>134</v>
      </c>
      <c r="K37" s="536"/>
      <c r="L37" s="537" t="s">
        <v>135</v>
      </c>
      <c r="M37" s="536" t="s">
        <v>136</v>
      </c>
      <c r="N37" s="536"/>
      <c r="O37" s="538"/>
    </row>
    <row r="38" spans="1:16" ht="12" customHeight="1">
      <c r="A38">
        <v>44</v>
      </c>
      <c r="C38" s="539"/>
      <c r="D38" s="536"/>
      <c r="E38" s="540">
        <v>1</v>
      </c>
      <c r="F38" s="536" t="str">
        <f>VLOOKUP(A38,'Costo Equipos'!$1:$1048576,2,0)</f>
        <v>Herramientas menores</v>
      </c>
      <c r="G38" s="536"/>
      <c r="H38" s="536"/>
      <c r="I38" s="536"/>
      <c r="J38" s="544">
        <f>VLOOKUP(A38,'Costo Equipos'!$1:$1048576,23,0)</f>
        <v>0</v>
      </c>
      <c r="K38" s="536" t="s">
        <v>142</v>
      </c>
      <c r="L38" s="545">
        <f>VLOOKUP(A38,'Costo Equipos'!$1:$1048576,48,0)</f>
        <v>0</v>
      </c>
      <c r="M38" s="543">
        <f>+L38*E38</f>
        <v>0</v>
      </c>
      <c r="N38" s="536"/>
      <c r="O38" s="538"/>
      <c r="P38" s="113"/>
    </row>
    <row r="39" spans="1:16" ht="12" customHeight="1">
      <c r="A39">
        <v>68</v>
      </c>
      <c r="C39" s="539"/>
      <c r="D39" s="536"/>
      <c r="E39" s="540">
        <v>1</v>
      </c>
      <c r="F39" s="536" t="str">
        <f>VLOOKUP(A39,'Costo Equipos'!$1:$1048576,2,0)</f>
        <v>Vibrador de inmersión</v>
      </c>
      <c r="G39" s="536"/>
      <c r="H39" s="536"/>
      <c r="I39" s="536"/>
      <c r="J39" s="544">
        <f>VLOOKUP(A39,'Costo Equipos'!$1:$1048576,23,0)</f>
        <v>0</v>
      </c>
      <c r="K39" s="536" t="s">
        <v>142</v>
      </c>
      <c r="L39" s="545">
        <f>VLOOKUP(A39,'Costo Equipos'!$1:$1048576,48,0)</f>
        <v>0</v>
      </c>
      <c r="M39" s="543">
        <f>+L39*E39</f>
        <v>0</v>
      </c>
      <c r="N39" s="536"/>
      <c r="O39" s="538"/>
    </row>
    <row r="40" spans="1:16" ht="7.5" customHeight="1">
      <c r="C40" s="539"/>
      <c r="D40" s="536"/>
      <c r="E40" s="536"/>
      <c r="F40" s="536"/>
      <c r="G40" s="536"/>
      <c r="H40" s="536"/>
      <c r="I40" s="536"/>
      <c r="J40" s="537"/>
      <c r="K40" s="536"/>
      <c r="L40" s="559"/>
      <c r="M40" s="536"/>
      <c r="N40" s="536"/>
      <c r="O40" s="538"/>
    </row>
    <row r="41" spans="1:16" ht="12" customHeight="1">
      <c r="C41" s="539"/>
      <c r="D41" s="536"/>
      <c r="E41" s="246" t="s">
        <v>1</v>
      </c>
      <c r="F41" s="536"/>
      <c r="G41" s="536"/>
      <c r="H41" s="536"/>
      <c r="I41" s="536"/>
      <c r="J41" s="537"/>
      <c r="K41" s="536"/>
      <c r="L41" s="537" t="s">
        <v>135</v>
      </c>
      <c r="M41" s="536" t="s">
        <v>136</v>
      </c>
      <c r="N41" s="536"/>
      <c r="O41" s="538"/>
    </row>
    <row r="42" spans="1:16" ht="12" customHeight="1">
      <c r="A42">
        <v>2</v>
      </c>
      <c r="C42" s="1016">
        <v>2</v>
      </c>
      <c r="D42" s="1017"/>
      <c r="E42" s="536" t="str">
        <f>IF(A42=1,"Oficial Especializado",IF(A42=2,"Oficial",IF(A42=3,"Medio oficial",IF(A42=4,"Ayudante",IF(A42=5,"Maquinista",0)))))</f>
        <v>Oficial</v>
      </c>
      <c r="F42" s="536"/>
      <c r="G42" s="536"/>
      <c r="H42" s="536"/>
      <c r="I42" s="537"/>
      <c r="J42" s="550"/>
      <c r="K42" s="536"/>
      <c r="L42" s="545">
        <f>+'Mano de Obra'!G47</f>
        <v>338.59</v>
      </c>
      <c r="M42" s="548">
        <f>+C42*L42</f>
        <v>677.18</v>
      </c>
      <c r="N42" s="536"/>
      <c r="O42" s="538"/>
    </row>
    <row r="43" spans="1:16" ht="12" customHeight="1">
      <c r="C43" s="539"/>
      <c r="D43" s="536"/>
      <c r="E43" s="536"/>
      <c r="F43" s="536"/>
      <c r="G43" s="536"/>
      <c r="H43" s="536"/>
      <c r="I43" s="537"/>
      <c r="J43" s="540"/>
      <c r="K43" s="551"/>
      <c r="L43" s="540"/>
      <c r="M43" s="560">
        <f>SUM(M42:M42)</f>
        <v>677.18</v>
      </c>
      <c r="N43" s="536"/>
      <c r="O43" s="538"/>
    </row>
    <row r="44" spans="1:16" ht="6" customHeight="1">
      <c r="C44" s="539"/>
      <c r="D44" s="536"/>
      <c r="E44" s="536"/>
      <c r="F44" s="536"/>
      <c r="G44" s="536"/>
      <c r="H44" s="536"/>
      <c r="I44" s="537"/>
      <c r="J44" s="540"/>
      <c r="K44" s="551"/>
      <c r="L44" s="540"/>
      <c r="M44" s="548"/>
      <c r="N44" s="536"/>
      <c r="O44" s="538"/>
    </row>
    <row r="45" spans="1:16" ht="12" customHeight="1">
      <c r="C45" s="539"/>
      <c r="D45" s="536"/>
      <c r="E45" s="536" t="s">
        <v>162</v>
      </c>
      <c r="F45" s="536"/>
      <c r="G45" s="536"/>
      <c r="H45" s="536"/>
      <c r="I45" s="536"/>
      <c r="J45" s="537"/>
      <c r="K45" s="536"/>
      <c r="L45" s="537"/>
      <c r="M45" s="248">
        <f>SUM(M38:M42)</f>
        <v>677.18</v>
      </c>
      <c r="N45" s="241"/>
      <c r="O45" s="538"/>
    </row>
    <row r="46" spans="1:16" ht="12" customHeight="1">
      <c r="C46" s="539"/>
      <c r="D46" s="536"/>
      <c r="E46" s="536" t="s">
        <v>212</v>
      </c>
      <c r="F46" s="536"/>
      <c r="G46" s="536"/>
      <c r="H46" s="536">
        <f>+H19</f>
        <v>20</v>
      </c>
      <c r="I46" s="536" t="s">
        <v>218</v>
      </c>
      <c r="J46" s="537"/>
      <c r="K46" s="536"/>
      <c r="L46" s="537"/>
      <c r="M46" s="536"/>
      <c r="N46" s="536"/>
      <c r="O46" s="538"/>
    </row>
    <row r="47" spans="1:16" ht="12" customHeight="1">
      <c r="C47" s="539"/>
      <c r="D47" s="536"/>
      <c r="E47" s="536" t="s">
        <v>213</v>
      </c>
      <c r="F47" s="536"/>
      <c r="G47" s="536"/>
      <c r="H47" s="554">
        <f>+M45</f>
        <v>677.18</v>
      </c>
      <c r="I47" s="554" t="s">
        <v>143</v>
      </c>
      <c r="J47" s="537" t="s">
        <v>214</v>
      </c>
      <c r="K47" s="537">
        <f>+H46</f>
        <v>20</v>
      </c>
      <c r="L47" s="537" t="s">
        <v>219</v>
      </c>
      <c r="M47" s="245">
        <f>+H47/K47</f>
        <v>33.858999999999995</v>
      </c>
      <c r="N47" s="241" t="s">
        <v>91</v>
      </c>
      <c r="O47" s="538"/>
    </row>
    <row r="48" spans="1:16" ht="15.75" thickBot="1">
      <c r="C48" s="555"/>
      <c r="D48" s="556"/>
      <c r="E48" s="556"/>
      <c r="F48" s="556"/>
      <c r="G48" s="556"/>
      <c r="H48" s="556"/>
      <c r="I48" s="556"/>
      <c r="J48" s="557"/>
      <c r="K48" s="556"/>
      <c r="L48" s="557"/>
      <c r="M48" s="556"/>
      <c r="N48" s="556"/>
      <c r="O48" s="558"/>
    </row>
    <row r="49" spans="3:15" ht="15.75" thickTop="1">
      <c r="C49" s="539"/>
      <c r="D49" s="536"/>
      <c r="E49" s="536"/>
      <c r="F49" s="536"/>
      <c r="G49" s="536"/>
      <c r="H49" s="536"/>
      <c r="I49" s="536"/>
      <c r="J49" s="537"/>
      <c r="K49" s="536"/>
      <c r="L49" s="537"/>
      <c r="M49" s="536"/>
      <c r="N49" s="536"/>
      <c r="O49" s="538"/>
    </row>
    <row r="50" spans="3:15" s="4" customFormat="1">
      <c r="C50" s="539" t="s">
        <v>209</v>
      </c>
      <c r="D50" s="241" t="s">
        <v>210</v>
      </c>
      <c r="E50" s="536"/>
      <c r="F50" s="536"/>
      <c r="G50" s="536"/>
      <c r="H50" s="551">
        <f>+$M$20</f>
        <v>59.910499999999999</v>
      </c>
      <c r="I50" s="536" t="str">
        <f>+$N$20</f>
        <v>$/m³</v>
      </c>
      <c r="J50" s="537"/>
      <c r="K50" s="536"/>
      <c r="L50" s="537"/>
      <c r="M50" s="536"/>
      <c r="N50" s="536"/>
      <c r="O50" s="538"/>
    </row>
    <row r="51" spans="3:15" s="4" customFormat="1">
      <c r="C51" s="539" t="s">
        <v>216</v>
      </c>
      <c r="D51" s="241" t="s">
        <v>217</v>
      </c>
      <c r="E51" s="536"/>
      <c r="F51" s="536"/>
      <c r="G51" s="536"/>
      <c r="H51" s="551">
        <f>+$M$33</f>
        <v>42.981000000000009</v>
      </c>
      <c r="I51" s="536" t="str">
        <f>+$N$33</f>
        <v>$/m³</v>
      </c>
      <c r="J51" s="537"/>
      <c r="K51" s="536"/>
      <c r="L51" s="537"/>
      <c r="M51" s="536"/>
      <c r="N51" s="536"/>
      <c r="O51" s="538"/>
    </row>
    <row r="52" spans="3:15" s="4" customFormat="1">
      <c r="C52" s="539" t="s">
        <v>220</v>
      </c>
      <c r="D52" s="241" t="s">
        <v>221</v>
      </c>
      <c r="E52" s="536"/>
      <c r="F52" s="536"/>
      <c r="G52" s="536"/>
      <c r="H52" s="561">
        <f>+$M$47</f>
        <v>33.858999999999995</v>
      </c>
      <c r="I52" s="562" t="str">
        <f>+$N$47</f>
        <v>$/m³</v>
      </c>
      <c r="J52" s="537"/>
      <c r="K52" s="536"/>
      <c r="L52" s="537"/>
      <c r="M52" s="536"/>
      <c r="N52" s="536"/>
      <c r="O52" s="538"/>
    </row>
    <row r="53" spans="3:15" s="4" customFormat="1">
      <c r="C53" s="539"/>
      <c r="D53" s="536"/>
      <c r="E53" s="536"/>
      <c r="F53" s="241" t="s">
        <v>222</v>
      </c>
      <c r="G53" s="241"/>
      <c r="H53" s="245">
        <f>SUM(H50:H52)</f>
        <v>136.75049999999999</v>
      </c>
      <c r="I53" s="241" t="str">
        <f>+I52:I52</f>
        <v>$/m³</v>
      </c>
      <c r="J53" s="537"/>
      <c r="K53" s="536"/>
      <c r="L53" s="537"/>
      <c r="M53" s="536"/>
      <c r="N53" s="536"/>
      <c r="O53" s="538"/>
    </row>
    <row r="54" spans="3:15" ht="15.75" thickBot="1">
      <c r="C54" s="555"/>
      <c r="D54" s="556"/>
      <c r="E54" s="556"/>
      <c r="F54" s="556"/>
      <c r="G54" s="556"/>
      <c r="H54" s="556"/>
      <c r="I54" s="556"/>
      <c r="J54" s="557"/>
      <c r="K54" s="556"/>
      <c r="L54" s="557"/>
      <c r="M54" s="556"/>
      <c r="N54" s="556"/>
      <c r="O54" s="558"/>
    </row>
    <row r="55" spans="3:15" ht="15.75" thickTop="1"/>
  </sheetData>
  <mergeCells count="5">
    <mergeCell ref="C42:D42"/>
    <mergeCell ref="C1:O1"/>
    <mergeCell ref="C14:D14"/>
    <mergeCell ref="C15:D15"/>
    <mergeCell ref="C29:D29"/>
  </mergeCell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W55"/>
  <sheetViews>
    <sheetView showGridLines="0" view="pageBreakPreview" topLeftCell="A22" zoomScale="85" zoomScaleNormal="100" zoomScaleSheetLayoutView="85" workbookViewId="0">
      <selection activeCell="L36" sqref="L36"/>
    </sheetView>
  </sheetViews>
  <sheetFormatPr baseColWidth="10" defaultColWidth="11" defaultRowHeight="13.5"/>
  <cols>
    <col min="1" max="1" width="4.5703125" style="295" customWidth="1"/>
    <col min="2" max="2" width="1.28515625" style="295" customWidth="1"/>
    <col min="3" max="3" width="3" style="289" customWidth="1"/>
    <col min="4" max="4" width="21.5703125" style="289" customWidth="1"/>
    <col min="5" max="5" width="8.42578125" style="295" customWidth="1"/>
    <col min="6" max="6" width="8" style="295" customWidth="1"/>
    <col min="7" max="7" width="9.5703125" style="295" customWidth="1"/>
    <col min="8" max="8" width="8" style="295" customWidth="1"/>
    <col min="9" max="9" width="7.85546875" style="295" customWidth="1"/>
    <col min="10" max="10" width="3.7109375" style="295" customWidth="1"/>
    <col min="11" max="11" width="8.5703125" style="295" customWidth="1"/>
    <col min="12" max="12" width="7.140625" style="295" customWidth="1"/>
    <col min="13" max="13" width="11" style="295" hidden="1" customWidth="1"/>
    <col min="14" max="14" width="18.85546875" style="289" hidden="1" customWidth="1"/>
    <col min="15" max="19" width="11" style="289" hidden="1" customWidth="1"/>
    <col min="20" max="20" width="12.28515625" style="295" hidden="1" customWidth="1"/>
    <col min="21" max="21" width="0" style="289" hidden="1" customWidth="1"/>
    <col min="22" max="16384" width="11" style="289"/>
  </cols>
  <sheetData>
    <row r="1" spans="1:23" s="108" customFormat="1" ht="20.25" customHeight="1" thickTop="1" thickBot="1">
      <c r="A1" s="107"/>
      <c r="B1" s="107"/>
      <c r="C1" s="986" t="s">
        <v>256</v>
      </c>
      <c r="D1" s="987"/>
      <c r="E1" s="987"/>
      <c r="F1" s="987"/>
      <c r="G1" s="987"/>
      <c r="H1" s="987"/>
      <c r="I1" s="987"/>
      <c r="J1" s="987"/>
      <c r="K1" s="987"/>
      <c r="L1" s="988"/>
      <c r="M1" s="107"/>
      <c r="N1" s="108" t="s">
        <v>2</v>
      </c>
      <c r="T1" s="107"/>
      <c r="W1" s="305" t="s">
        <v>2</v>
      </c>
    </row>
    <row r="2" spans="1:23" s="114" customFormat="1" ht="15" customHeight="1" thickTop="1">
      <c r="A2" s="110"/>
      <c r="B2" s="110"/>
      <c r="C2" s="306"/>
      <c r="D2" s="307"/>
      <c r="E2" s="308"/>
      <c r="F2" s="308"/>
      <c r="G2" s="308"/>
      <c r="H2" s="308"/>
      <c r="I2" s="308"/>
      <c r="J2" s="308"/>
      <c r="K2" s="111"/>
      <c r="L2" s="316"/>
      <c r="M2" s="112"/>
      <c r="N2" s="113" t="s">
        <v>141</v>
      </c>
      <c r="O2" s="113"/>
      <c r="P2" s="113"/>
      <c r="Q2" s="110"/>
      <c r="R2" s="110"/>
      <c r="S2" s="110"/>
      <c r="T2" s="110"/>
      <c r="W2" s="305" t="s">
        <v>141</v>
      </c>
    </row>
    <row r="3" spans="1:23" s="114" customFormat="1" ht="15" customHeight="1">
      <c r="A3" s="110"/>
      <c r="B3" s="110"/>
      <c r="C3" s="309" t="s">
        <v>209</v>
      </c>
      <c r="D3" s="274" t="s">
        <v>232</v>
      </c>
      <c r="E3" s="310"/>
      <c r="F3" s="311">
        <v>0.9</v>
      </c>
      <c r="G3" s="317" t="s">
        <v>247</v>
      </c>
      <c r="H3" s="276"/>
      <c r="I3" s="318"/>
      <c r="J3" s="276"/>
      <c r="K3" s="313"/>
      <c r="L3" s="319"/>
      <c r="M3" s="112"/>
      <c r="N3" s="113"/>
      <c r="O3" s="113"/>
      <c r="P3" s="113"/>
      <c r="Q3" s="118"/>
      <c r="R3" s="118"/>
      <c r="S3" s="118"/>
      <c r="T3" s="118"/>
      <c r="U3" s="119"/>
    </row>
    <row r="4" spans="1:23" s="114" customFormat="1" ht="15" customHeight="1">
      <c r="A4" s="110"/>
      <c r="B4" s="110"/>
      <c r="C4" s="115"/>
      <c r="D4" s="304"/>
      <c r="E4" s="116"/>
      <c r="F4" s="117"/>
      <c r="G4" s="320"/>
      <c r="H4" s="312"/>
      <c r="I4" s="321"/>
      <c r="J4" s="312"/>
      <c r="K4" s="313"/>
      <c r="L4" s="319"/>
      <c r="M4" s="112"/>
      <c r="N4" s="113"/>
      <c r="O4" s="113"/>
      <c r="P4" s="113"/>
      <c r="Q4" s="118"/>
      <c r="R4" s="118"/>
      <c r="S4" s="118"/>
      <c r="T4" s="118"/>
      <c r="U4" s="119"/>
    </row>
    <row r="5" spans="1:23" s="114" customFormat="1" ht="15" customHeight="1">
      <c r="A5" s="110"/>
      <c r="B5" s="110"/>
      <c r="C5" s="291" t="s">
        <v>133</v>
      </c>
      <c r="D5" s="304"/>
      <c r="E5" s="314"/>
      <c r="F5" s="314" t="s">
        <v>134</v>
      </c>
      <c r="G5" s="314"/>
      <c r="H5" s="330" t="s">
        <v>233</v>
      </c>
      <c r="I5" s="321"/>
      <c r="J5" s="330"/>
      <c r="K5" s="330" t="s">
        <v>136</v>
      </c>
      <c r="L5" s="331"/>
      <c r="M5" s="112"/>
      <c r="N5" s="113"/>
      <c r="O5" s="113"/>
      <c r="P5" s="113"/>
      <c r="Q5" s="118"/>
      <c r="R5" s="118"/>
      <c r="S5" s="118"/>
      <c r="T5" s="118"/>
      <c r="U5" s="119"/>
    </row>
    <row r="6" spans="1:23" s="114" customFormat="1" ht="15" customHeight="1">
      <c r="A6" s="110">
        <v>5</v>
      </c>
      <c r="B6" s="110"/>
      <c r="C6" s="115">
        <v>0.5</v>
      </c>
      <c r="D6" s="304" t="str">
        <f>VLOOKUP(A6,'Costo Equipos'!$1:$1048576,2,0)</f>
        <v>Retroexcavadora Hyundai R210-7</v>
      </c>
      <c r="E6" s="314"/>
      <c r="F6" s="375">
        <f>VLOOKUP(A6,'Costo Equipos'!$1:$1048576,23,0)</f>
        <v>0</v>
      </c>
      <c r="G6" s="275" t="s">
        <v>142</v>
      </c>
      <c r="H6" s="330">
        <f>VLOOKUP(A6,'Costo Equipos'!$1:$1048576,48,0)</f>
        <v>0</v>
      </c>
      <c r="I6" s="321" t="s">
        <v>161</v>
      </c>
      <c r="J6" s="330"/>
      <c r="K6" s="330">
        <f>+H6*C6</f>
        <v>0</v>
      </c>
      <c r="L6" s="332" t="s">
        <v>143</v>
      </c>
      <c r="M6" s="112"/>
      <c r="N6" s="113"/>
      <c r="O6" s="113"/>
      <c r="P6" s="113"/>
      <c r="Q6" s="118"/>
      <c r="R6" s="118"/>
      <c r="S6" s="118"/>
      <c r="T6" s="118"/>
      <c r="U6" s="119"/>
    </row>
    <row r="7" spans="1:23" s="114" customFormat="1" ht="15" customHeight="1">
      <c r="A7" s="110">
        <v>41</v>
      </c>
      <c r="B7" s="110"/>
      <c r="C7" s="120">
        <v>1</v>
      </c>
      <c r="D7" s="304" t="str">
        <f>VLOOKUP(A7,'Costo Equipos'!$1:$1048576,2,0)</f>
        <v>Camion Volcador 15 t</v>
      </c>
      <c r="E7" s="314"/>
      <c r="F7" s="375">
        <f>VLOOKUP(A7,'Costo Equipos'!$1:$1048576,23,0)</f>
        <v>0</v>
      </c>
      <c r="G7" s="318" t="s">
        <v>142</v>
      </c>
      <c r="H7" s="330">
        <f>VLOOKUP(A7,'Costo Equipos'!$1:$1048576,48,0)</f>
        <v>0</v>
      </c>
      <c r="I7" s="330" t="s">
        <v>161</v>
      </c>
      <c r="J7" s="333"/>
      <c r="K7" s="330">
        <f>+H7*C7</f>
        <v>0</v>
      </c>
      <c r="L7" s="332" t="s">
        <v>143</v>
      </c>
      <c r="M7" s="112"/>
      <c r="N7" s="113"/>
      <c r="O7" s="113"/>
      <c r="P7" s="113"/>
      <c r="Q7" s="124"/>
      <c r="R7" s="125"/>
      <c r="S7" s="125"/>
      <c r="T7" s="126"/>
      <c r="U7" s="119"/>
    </row>
    <row r="8" spans="1:23" s="114" customFormat="1" ht="15" customHeight="1">
      <c r="A8" s="110"/>
      <c r="B8" s="110"/>
      <c r="C8" s="120"/>
      <c r="D8" s="290"/>
      <c r="E8" s="314"/>
      <c r="F8" s="377">
        <v>235</v>
      </c>
      <c r="G8" s="275" t="s">
        <v>142</v>
      </c>
      <c r="H8" s="314"/>
      <c r="I8" s="314"/>
      <c r="J8" s="314"/>
      <c r="K8" s="334">
        <f>SUM(K6:K7)</f>
        <v>0</v>
      </c>
      <c r="L8" s="335" t="s">
        <v>143</v>
      </c>
      <c r="M8" s="112"/>
      <c r="O8" s="113"/>
      <c r="P8" s="113"/>
      <c r="Q8" s="119"/>
      <c r="T8" s="110"/>
      <c r="U8" s="296"/>
    </row>
    <row r="9" spans="1:23" s="114" customFormat="1" ht="15" customHeight="1">
      <c r="A9" s="110"/>
      <c r="B9" s="110"/>
      <c r="C9" s="291"/>
      <c r="D9" s="128"/>
      <c r="E9" s="333"/>
      <c r="F9" s="333"/>
      <c r="G9" s="336"/>
      <c r="H9" s="333"/>
      <c r="I9" s="337"/>
      <c r="J9" s="333"/>
      <c r="K9" s="314"/>
      <c r="L9" s="338"/>
      <c r="M9" s="112"/>
      <c r="P9" s="113"/>
      <c r="Q9" s="119"/>
      <c r="T9" s="110"/>
    </row>
    <row r="10" spans="1:23" s="114" customFormat="1" ht="15" customHeight="1">
      <c r="A10" s="110"/>
      <c r="B10" s="110"/>
      <c r="C10" s="291" t="s">
        <v>145</v>
      </c>
      <c r="D10" s="304"/>
      <c r="E10" s="321"/>
      <c r="F10" s="314"/>
      <c r="G10" s="275" t="s">
        <v>135</v>
      </c>
      <c r="H10" s="330"/>
      <c r="I10" s="314" t="s">
        <v>136</v>
      </c>
      <c r="J10" s="330"/>
      <c r="K10" s="314"/>
      <c r="L10" s="339"/>
      <c r="M10" s="112"/>
      <c r="P10" s="113"/>
      <c r="T10" s="110"/>
    </row>
    <row r="11" spans="1:23" s="114" customFormat="1" ht="15" customHeight="1">
      <c r="A11" s="110">
        <v>2</v>
      </c>
      <c r="B11" s="110"/>
      <c r="C11" s="120">
        <v>2</v>
      </c>
      <c r="D11" s="304" t="str">
        <f>IF(A11=1,"Oficial Especializado",IF(A11=2,"Oficial",IF(A11=3,"Medio oficial",IF(A11=4,"Ayudante",IF(A11=5,"Maquinista",0)))))</f>
        <v>Oficial</v>
      </c>
      <c r="E11" s="321"/>
      <c r="F11" s="314"/>
      <c r="G11" s="275">
        <f>+'Mano de Obra'!G47</f>
        <v>338.59</v>
      </c>
      <c r="H11" s="330" t="s">
        <v>146</v>
      </c>
      <c r="I11" s="314">
        <f>+G11*C11</f>
        <v>677.18</v>
      </c>
      <c r="J11" s="330" t="s">
        <v>143</v>
      </c>
      <c r="K11" s="314"/>
      <c r="L11" s="339"/>
      <c r="M11" s="112"/>
      <c r="P11" s="113"/>
      <c r="Q11" s="983"/>
      <c r="R11" s="983"/>
      <c r="S11" s="983"/>
      <c r="T11" s="130"/>
    </row>
    <row r="12" spans="1:23" s="114" customFormat="1" ht="15" customHeight="1">
      <c r="A12" s="110">
        <v>4</v>
      </c>
      <c r="B12" s="110"/>
      <c r="C12" s="120">
        <v>5</v>
      </c>
      <c r="D12" s="304" t="str">
        <f>IF(A12=1,"Oficial Especializado",IF(A12=2,"Oficial",IF(A12=3,"Medio oficial",IF(A12=4,"Ayudante",IF(A12=5,"Maquinista",0)))))</f>
        <v>Ayudante</v>
      </c>
      <c r="E12" s="321"/>
      <c r="F12" s="314"/>
      <c r="G12" s="275">
        <f>+'Mano de Obra'!I47</f>
        <v>286.54000000000002</v>
      </c>
      <c r="H12" s="330" t="s">
        <v>146</v>
      </c>
      <c r="I12" s="314">
        <f>+G12*C12</f>
        <v>1432.7</v>
      </c>
      <c r="J12" s="330" t="s">
        <v>143</v>
      </c>
      <c r="K12" s="314"/>
      <c r="L12" s="332"/>
      <c r="M12" s="112"/>
      <c r="N12" s="297"/>
      <c r="O12" s="297"/>
      <c r="P12" s="113"/>
      <c r="Q12" s="983"/>
      <c r="R12" s="983"/>
      <c r="S12" s="983"/>
      <c r="T12" s="132"/>
    </row>
    <row r="13" spans="1:23" s="114" customFormat="1" ht="15" customHeight="1">
      <c r="A13" s="110"/>
      <c r="B13" s="110"/>
      <c r="C13" s="120"/>
      <c r="D13" s="133"/>
      <c r="E13" s="314"/>
      <c r="F13" s="314"/>
      <c r="G13" s="275"/>
      <c r="H13" s="314"/>
      <c r="I13" s="334">
        <f>SUM(I11:I12)</f>
        <v>2109.88</v>
      </c>
      <c r="J13" s="314" t="str">
        <f>+J12</f>
        <v>$/d</v>
      </c>
      <c r="K13" s="314"/>
      <c r="L13" s="335"/>
      <c r="M13" s="112"/>
      <c r="N13" s="298"/>
      <c r="O13" s="297"/>
      <c r="P13" s="113"/>
      <c r="Q13" s="984"/>
      <c r="R13" s="984"/>
      <c r="S13" s="984"/>
      <c r="T13" s="135"/>
    </row>
    <row r="14" spans="1:23" s="114" customFormat="1" ht="15" customHeight="1">
      <c r="A14" s="110"/>
      <c r="B14" s="110"/>
      <c r="C14" s="325" t="s">
        <v>162</v>
      </c>
      <c r="D14" s="133"/>
      <c r="E14" s="314"/>
      <c r="F14" s="314" t="s">
        <v>234</v>
      </c>
      <c r="G14" s="275"/>
      <c r="H14" s="314"/>
      <c r="I14" s="314"/>
      <c r="J14" s="314"/>
      <c r="K14" s="314">
        <f>+I13+K8</f>
        <v>2109.88</v>
      </c>
      <c r="L14" s="335" t="s">
        <v>143</v>
      </c>
      <c r="M14" s="112"/>
      <c r="N14" s="298"/>
      <c r="O14" s="297"/>
      <c r="P14" s="113"/>
      <c r="Q14" s="251"/>
      <c r="R14" s="251"/>
      <c r="S14" s="251"/>
      <c r="T14" s="135"/>
    </row>
    <row r="15" spans="1:23" s="114" customFormat="1" ht="15" customHeight="1">
      <c r="A15" s="110"/>
      <c r="B15" s="110"/>
      <c r="C15" s="292" t="s">
        <v>150</v>
      </c>
      <c r="D15" s="128"/>
      <c r="E15" s="215">
        <v>150</v>
      </c>
      <c r="F15" s="333" t="s">
        <v>163</v>
      </c>
      <c r="G15" s="336"/>
      <c r="H15" s="333"/>
      <c r="I15" s="333"/>
      <c r="J15" s="333"/>
      <c r="K15" s="314"/>
      <c r="L15" s="332"/>
      <c r="M15" s="112"/>
      <c r="N15" s="113"/>
      <c r="O15" s="113"/>
      <c r="P15" s="113"/>
      <c r="Q15" s="984"/>
      <c r="R15" s="984"/>
      <c r="S15" s="984"/>
      <c r="T15" s="135"/>
    </row>
    <row r="16" spans="1:23" s="114" customFormat="1" ht="15" customHeight="1">
      <c r="A16" s="110"/>
      <c r="B16" s="110"/>
      <c r="C16" s="292" t="s">
        <v>164</v>
      </c>
      <c r="D16" s="122"/>
      <c r="E16" s="314">
        <f>+K14</f>
        <v>2109.88</v>
      </c>
      <c r="F16" s="314" t="s">
        <v>154</v>
      </c>
      <c r="G16" s="336">
        <f>+E15</f>
        <v>150</v>
      </c>
      <c r="H16" s="333" t="s">
        <v>163</v>
      </c>
      <c r="I16" s="333" t="s">
        <v>155</v>
      </c>
      <c r="J16" s="333"/>
      <c r="K16" s="314">
        <f>+E16/G16</f>
        <v>14.065866666666667</v>
      </c>
      <c r="L16" s="338" t="s">
        <v>91</v>
      </c>
      <c r="M16" s="112"/>
      <c r="N16" s="113"/>
      <c r="O16" s="113"/>
      <c r="P16" s="138"/>
      <c r="Q16" s="984"/>
      <c r="R16" s="984"/>
      <c r="S16" s="984"/>
      <c r="T16" s="135"/>
    </row>
    <row r="17" spans="1:20" s="114" customFormat="1" ht="15">
      <c r="A17" s="110"/>
      <c r="B17" s="110"/>
      <c r="C17" s="292"/>
      <c r="D17" s="128"/>
      <c r="E17" s="321"/>
      <c r="F17" s="314"/>
      <c r="G17" s="275"/>
      <c r="H17" s="314"/>
      <c r="I17" s="314"/>
      <c r="J17" s="314"/>
      <c r="K17" s="314"/>
      <c r="L17" s="335"/>
      <c r="M17" s="112"/>
      <c r="N17" s="113"/>
      <c r="O17" s="113"/>
      <c r="P17" s="113"/>
      <c r="T17" s="135"/>
    </row>
    <row r="18" spans="1:20" s="114" customFormat="1" ht="15">
      <c r="A18" s="110"/>
      <c r="B18" s="110"/>
      <c r="C18" s="285" t="s">
        <v>235</v>
      </c>
      <c r="D18" s="288"/>
      <c r="E18" s="340"/>
      <c r="F18" s="341"/>
      <c r="G18" s="342"/>
      <c r="H18" s="341"/>
      <c r="I18" s="341"/>
      <c r="J18" s="341"/>
      <c r="K18" s="343">
        <f>+K16</f>
        <v>14.065866666666667</v>
      </c>
      <c r="L18" s="322" t="s">
        <v>91</v>
      </c>
      <c r="Q18" s="139"/>
      <c r="T18" s="110"/>
    </row>
    <row r="19" spans="1:20" s="114" customFormat="1" ht="15">
      <c r="A19" s="110"/>
      <c r="B19" s="110"/>
      <c r="C19" s="292"/>
      <c r="D19" s="128"/>
      <c r="E19" s="344"/>
      <c r="F19" s="345"/>
      <c r="G19" s="346"/>
      <c r="H19" s="345"/>
      <c r="I19" s="345"/>
      <c r="J19" s="345"/>
      <c r="K19" s="345"/>
      <c r="L19" s="347"/>
      <c r="M19" s="112"/>
      <c r="N19" s="113"/>
      <c r="O19" s="113"/>
      <c r="P19" s="113"/>
      <c r="Q19" s="139"/>
      <c r="T19" s="140"/>
    </row>
    <row r="20" spans="1:20" s="114" customFormat="1" ht="15">
      <c r="A20" s="110"/>
      <c r="B20" s="110"/>
      <c r="C20" s="309" t="s">
        <v>216</v>
      </c>
      <c r="D20" s="274" t="s">
        <v>236</v>
      </c>
      <c r="E20" s="348"/>
      <c r="F20" s="311">
        <f>1-F3</f>
        <v>9.9999999999999978E-2</v>
      </c>
      <c r="G20" s="349" t="s">
        <v>247</v>
      </c>
      <c r="H20" s="348"/>
      <c r="I20" s="350"/>
      <c r="J20" s="348"/>
      <c r="K20" s="351"/>
      <c r="L20" s="352"/>
      <c r="M20" s="299"/>
      <c r="N20" s="293"/>
      <c r="O20" s="113"/>
      <c r="P20" s="113"/>
      <c r="Q20" s="303"/>
      <c r="T20" s="110"/>
    </row>
    <row r="21" spans="1:20" s="122" customFormat="1" ht="15.75">
      <c r="A21" s="129"/>
      <c r="B21" s="129"/>
      <c r="C21" s="1018"/>
      <c r="D21" s="1018"/>
      <c r="E21" s="1019"/>
      <c r="F21" s="1019"/>
      <c r="G21" s="1020"/>
      <c r="H21" s="1019"/>
      <c r="I21" s="1019"/>
      <c r="J21" s="353"/>
      <c r="K21" s="353"/>
      <c r="L21" s="354"/>
      <c r="M21" s="300"/>
      <c r="N21" s="301"/>
      <c r="O21" s="128"/>
      <c r="P21" s="128"/>
      <c r="Q21" s="149"/>
      <c r="T21" s="129"/>
    </row>
    <row r="22" spans="1:20" ht="15">
      <c r="C22" s="291" t="s">
        <v>133</v>
      </c>
      <c r="D22" s="121"/>
      <c r="E22" s="355"/>
      <c r="F22" s="356" t="s">
        <v>134</v>
      </c>
      <c r="G22" s="357"/>
      <c r="H22" s="356" t="s">
        <v>135</v>
      </c>
      <c r="I22" s="356"/>
      <c r="J22" s="356"/>
      <c r="K22" s="356" t="s">
        <v>136</v>
      </c>
      <c r="L22" s="358"/>
    </row>
    <row r="23" spans="1:20" ht="15">
      <c r="A23" s="295">
        <v>44</v>
      </c>
      <c r="C23" s="120">
        <v>1</v>
      </c>
      <c r="D23" s="304" t="str">
        <f>VLOOKUP(A23,'Costo Equipos'!$1:$1048576,2,0)</f>
        <v>Herramientas menores</v>
      </c>
      <c r="E23" s="356"/>
      <c r="F23" s="375">
        <f>VLOOKUP(A23,'Costo Equipos'!$1:$1048576,23,0)</f>
        <v>0</v>
      </c>
      <c r="G23" s="359" t="s">
        <v>142</v>
      </c>
      <c r="H23" s="330">
        <f>VLOOKUP(A23,'Costo Equipos'!$1:$1048576,48,0)</f>
        <v>0</v>
      </c>
      <c r="I23" s="356" t="s">
        <v>161</v>
      </c>
      <c r="J23" s="356"/>
      <c r="K23" s="356">
        <f>+H23*C23</f>
        <v>0</v>
      </c>
      <c r="L23" s="360" t="s">
        <v>143</v>
      </c>
      <c r="Q23" s="302"/>
    </row>
    <row r="24" spans="1:20" ht="15">
      <c r="C24" s="120"/>
      <c r="D24" s="304"/>
      <c r="E24" s="1023"/>
      <c r="F24" s="1023"/>
      <c r="G24" s="359"/>
      <c r="H24" s="356"/>
      <c r="I24" s="356"/>
      <c r="J24" s="356"/>
      <c r="K24" s="356"/>
      <c r="L24" s="360"/>
    </row>
    <row r="25" spans="1:20" ht="15">
      <c r="C25" s="291" t="s">
        <v>145</v>
      </c>
      <c r="D25" s="294"/>
      <c r="E25" s="1023"/>
      <c r="F25" s="1023"/>
      <c r="G25" s="359" t="s">
        <v>135</v>
      </c>
      <c r="H25" s="356"/>
      <c r="I25" s="356" t="s">
        <v>136</v>
      </c>
      <c r="J25" s="356"/>
      <c r="K25" s="356"/>
      <c r="L25" s="360"/>
      <c r="Q25" s="302"/>
    </row>
    <row r="26" spans="1:20" ht="15">
      <c r="A26" s="295">
        <v>4</v>
      </c>
      <c r="C26" s="120">
        <v>4</v>
      </c>
      <c r="D26" s="304" t="str">
        <f>IF(A26=1,"Oficial Especializado",IF(A26=2,"Oficial",IF(A26=3,"Medio oficial",IF(A26=4,"Ayudante",IF(A26=5,"Maquinista",0)))))</f>
        <v>Ayudante</v>
      </c>
      <c r="E26" s="1023"/>
      <c r="F26" s="1023"/>
      <c r="G26" s="275">
        <f>+'Mano de Obra'!I47</f>
        <v>286.54000000000002</v>
      </c>
      <c r="H26" s="356" t="s">
        <v>146</v>
      </c>
      <c r="I26" s="356">
        <f>+G26*C26</f>
        <v>1146.1600000000001</v>
      </c>
      <c r="J26" s="356" t="s">
        <v>143</v>
      </c>
      <c r="K26" s="356"/>
      <c r="L26" s="360"/>
    </row>
    <row r="27" spans="1:20" ht="15">
      <c r="C27" s="120"/>
      <c r="D27" s="294"/>
      <c r="E27" s="1023"/>
      <c r="F27" s="1023"/>
      <c r="G27" s="356"/>
      <c r="H27" s="356"/>
      <c r="I27" s="361">
        <f>SUM(I26)</f>
        <v>1146.1600000000001</v>
      </c>
      <c r="J27" s="356" t="str">
        <f>+J26</f>
        <v>$/d</v>
      </c>
      <c r="K27" s="356"/>
      <c r="L27" s="360"/>
    </row>
    <row r="28" spans="1:20" ht="15">
      <c r="C28" s="325" t="s">
        <v>162</v>
      </c>
      <c r="D28" s="120"/>
      <c r="E28" s="356"/>
      <c r="F28" s="356" t="s">
        <v>234</v>
      </c>
      <c r="G28" s="356"/>
      <c r="H28" s="356"/>
      <c r="I28" s="356"/>
      <c r="J28" s="356"/>
      <c r="K28" s="356">
        <f>+I27+K23</f>
        <v>1146.1600000000001</v>
      </c>
      <c r="L28" s="360" t="s">
        <v>143</v>
      </c>
    </row>
    <row r="29" spans="1:20" ht="15">
      <c r="C29" s="292" t="s">
        <v>150</v>
      </c>
      <c r="D29" s="294"/>
      <c r="E29" s="356">
        <v>12</v>
      </c>
      <c r="F29" s="356" t="s">
        <v>163</v>
      </c>
      <c r="G29" s="356"/>
      <c r="H29" s="356"/>
      <c r="I29" s="356"/>
      <c r="J29" s="356"/>
      <c r="K29" s="356"/>
      <c r="L29" s="360"/>
    </row>
    <row r="30" spans="1:20" ht="15">
      <c r="C30" s="292" t="s">
        <v>164</v>
      </c>
      <c r="D30" s="294"/>
      <c r="E30" s="356">
        <f>+K28</f>
        <v>1146.1600000000001</v>
      </c>
      <c r="F30" s="356" t="s">
        <v>154</v>
      </c>
      <c r="G30" s="356">
        <f>+E29</f>
        <v>12</v>
      </c>
      <c r="H30" s="356" t="s">
        <v>163</v>
      </c>
      <c r="I30" s="356" t="s">
        <v>155</v>
      </c>
      <c r="J30" s="356"/>
      <c r="K30" s="356">
        <f>+E30/G30</f>
        <v>95.513333333333335</v>
      </c>
      <c r="L30" s="360" t="s">
        <v>91</v>
      </c>
    </row>
    <row r="31" spans="1:20" ht="15.75">
      <c r="C31" s="278"/>
      <c r="D31" s="294"/>
      <c r="E31" s="362"/>
      <c r="F31" s="362"/>
      <c r="G31" s="362"/>
      <c r="H31" s="362"/>
      <c r="I31" s="362"/>
      <c r="J31" s="362"/>
      <c r="K31" s="362"/>
      <c r="L31" s="363"/>
    </row>
    <row r="32" spans="1:20" ht="15.75">
      <c r="C32" s="285" t="s">
        <v>237</v>
      </c>
      <c r="D32" s="287"/>
      <c r="E32" s="364"/>
      <c r="F32" s="364"/>
      <c r="G32" s="364"/>
      <c r="H32" s="364"/>
      <c r="I32" s="364"/>
      <c r="J32" s="364"/>
      <c r="K32" s="343">
        <f>+K30</f>
        <v>95.513333333333335</v>
      </c>
      <c r="L32" s="322" t="s">
        <v>91</v>
      </c>
    </row>
    <row r="33" spans="1:12" ht="15.75">
      <c r="C33" s="278"/>
      <c r="D33" s="294"/>
      <c r="E33" s="362"/>
      <c r="F33" s="362"/>
      <c r="G33" s="362"/>
      <c r="H33" s="362"/>
      <c r="I33" s="362"/>
      <c r="J33" s="362"/>
      <c r="K33" s="362"/>
      <c r="L33" s="363"/>
    </row>
    <row r="34" spans="1:12" ht="15.75">
      <c r="C34" s="309" t="s">
        <v>220</v>
      </c>
      <c r="D34" s="274" t="s">
        <v>238</v>
      </c>
      <c r="E34" s="362"/>
      <c r="F34" s="311">
        <v>0.25</v>
      </c>
      <c r="G34" s="365" t="s">
        <v>247</v>
      </c>
      <c r="H34" s="356"/>
      <c r="I34" s="356"/>
      <c r="J34" s="356"/>
      <c r="K34" s="356"/>
      <c r="L34" s="360"/>
    </row>
    <row r="35" spans="1:12" ht="15.75">
      <c r="C35" s="278"/>
      <c r="D35" s="294"/>
      <c r="E35" s="362"/>
      <c r="F35" s="356"/>
      <c r="G35" s="356"/>
      <c r="H35" s="356"/>
      <c r="I35" s="356"/>
      <c r="J35" s="356"/>
      <c r="K35" s="356"/>
      <c r="L35" s="360"/>
    </row>
    <row r="36" spans="1:12" ht="15.75">
      <c r="C36" s="291" t="s">
        <v>133</v>
      </c>
      <c r="D36" s="294"/>
      <c r="E36" s="362"/>
      <c r="F36" s="356" t="s">
        <v>134</v>
      </c>
      <c r="G36" s="356"/>
      <c r="H36" s="356" t="s">
        <v>135</v>
      </c>
      <c r="I36" s="356"/>
      <c r="J36" s="356"/>
      <c r="K36" s="356" t="s">
        <v>136</v>
      </c>
      <c r="L36" s="360"/>
    </row>
    <row r="37" spans="1:12" ht="15.75">
      <c r="A37" s="295">
        <v>44</v>
      </c>
      <c r="C37" s="120">
        <v>2</v>
      </c>
      <c r="D37" s="304" t="str">
        <f>VLOOKUP(A37,'Costo Equipos'!$1:$1048576,2,0)</f>
        <v>Herramientas menores</v>
      </c>
      <c r="E37" s="362"/>
      <c r="F37" s="375">
        <f>VLOOKUP(A37,'Costo Equipos'!$1:$1048576,23,0)</f>
        <v>0</v>
      </c>
      <c r="G37" s="356" t="s">
        <v>142</v>
      </c>
      <c r="H37" s="330">
        <f>VLOOKUP(A37,'Costo Equipos'!$1:$1048576,48,0)</f>
        <v>0</v>
      </c>
      <c r="I37" s="356" t="s">
        <v>161</v>
      </c>
      <c r="J37" s="356"/>
      <c r="K37" s="356">
        <f>+H37-C37</f>
        <v>-2</v>
      </c>
      <c r="L37" s="360" t="s">
        <v>143</v>
      </c>
    </row>
    <row r="38" spans="1:12" ht="15.75">
      <c r="A38" s="295">
        <v>64</v>
      </c>
      <c r="C38" s="120">
        <v>3</v>
      </c>
      <c r="D38" s="304" t="e">
        <f>VLOOKUP(A38,'Costo Equipos'!$1:$1048576,2,0)</f>
        <v>#N/A</v>
      </c>
      <c r="E38" s="362"/>
      <c r="F38" s="375" t="e">
        <f>VLOOKUP(A38,'Costo Equipos'!$1:$1048576,23,0)</f>
        <v>#N/A</v>
      </c>
      <c r="G38" s="356" t="s">
        <v>142</v>
      </c>
      <c r="H38" s="330" t="e">
        <f>VLOOKUP(A38,'Costo Equipos'!$1:$1048576,48,0)</f>
        <v>#N/A</v>
      </c>
      <c r="I38" s="356" t="s">
        <v>161</v>
      </c>
      <c r="J38" s="356"/>
      <c r="K38" s="356" t="e">
        <f t="shared" ref="K38:K39" si="0">+H38-C38</f>
        <v>#N/A</v>
      </c>
      <c r="L38" s="360" t="s">
        <v>143</v>
      </c>
    </row>
    <row r="39" spans="1:12" ht="15.75">
      <c r="A39" s="295">
        <v>8</v>
      </c>
      <c r="C39" s="120">
        <v>1</v>
      </c>
      <c r="D39" s="304" t="e">
        <f>VLOOKUP(A39,'Costo Equipos'!$1:$1048576,2,0)</f>
        <v>#N/A</v>
      </c>
      <c r="E39" s="362"/>
      <c r="F39" s="375" t="e">
        <f>VLOOKUP(A39,'Costo Equipos'!$1:$1048576,23,0)</f>
        <v>#N/A</v>
      </c>
      <c r="G39" s="356" t="s">
        <v>142</v>
      </c>
      <c r="H39" s="330" t="e">
        <f>VLOOKUP(A39,'Costo Equipos'!$1:$1048576,48,0)</f>
        <v>#N/A</v>
      </c>
      <c r="I39" s="356" t="s">
        <v>161</v>
      </c>
      <c r="J39" s="356"/>
      <c r="K39" s="356" t="e">
        <f t="shared" si="0"/>
        <v>#N/A</v>
      </c>
      <c r="L39" s="360" t="s">
        <v>143</v>
      </c>
    </row>
    <row r="40" spans="1:12" ht="15.75">
      <c r="C40" s="278"/>
      <c r="D40" s="294"/>
      <c r="E40" s="362"/>
      <c r="F40" s="376" t="e">
        <f>SUM(F37:F39)</f>
        <v>#N/A</v>
      </c>
      <c r="G40" s="356" t="s">
        <v>142</v>
      </c>
      <c r="H40" s="356"/>
      <c r="I40" s="356"/>
      <c r="J40" s="356"/>
      <c r="K40" s="361" t="e">
        <f>SUM(K37:K39)</f>
        <v>#N/A</v>
      </c>
      <c r="L40" s="360" t="s">
        <v>143</v>
      </c>
    </row>
    <row r="41" spans="1:12" ht="16.5" thickBot="1">
      <c r="C41" s="286"/>
      <c r="D41" s="284"/>
      <c r="E41" s="366"/>
      <c r="F41" s="366"/>
      <c r="G41" s="366"/>
      <c r="H41" s="366"/>
      <c r="I41" s="366"/>
      <c r="J41" s="366"/>
      <c r="K41" s="366"/>
      <c r="L41" s="367"/>
    </row>
    <row r="42" spans="1:12" ht="15.75" thickTop="1">
      <c r="C42" s="291" t="s">
        <v>145</v>
      </c>
      <c r="D42" s="294"/>
      <c r="E42" s="365"/>
      <c r="F42" s="365"/>
      <c r="G42" s="356" t="s">
        <v>135</v>
      </c>
      <c r="H42" s="356"/>
      <c r="I42" s="356" t="s">
        <v>136</v>
      </c>
      <c r="J42" s="356"/>
      <c r="K42" s="365"/>
      <c r="L42" s="358"/>
    </row>
    <row r="43" spans="1:12" ht="15">
      <c r="A43" s="295">
        <v>2</v>
      </c>
      <c r="C43" s="278">
        <v>2</v>
      </c>
      <c r="D43" s="304" t="str">
        <f>IF(A43=1,"Oficial Especializado",IF(A43=2,"Oficial",IF(A43=3,"Medio oficial",IF(A43=4,"Ayudante",IF(A43=5,"Maquinista",0)))))</f>
        <v>Oficial</v>
      </c>
      <c r="E43" s="365"/>
      <c r="F43" s="365"/>
      <c r="G43" s="275">
        <f>+'Mano de Obra'!G47</f>
        <v>338.59</v>
      </c>
      <c r="H43" s="356" t="s">
        <v>146</v>
      </c>
      <c r="I43" s="356">
        <f>+G43*C43</f>
        <v>677.18</v>
      </c>
      <c r="J43" s="356" t="s">
        <v>143</v>
      </c>
      <c r="K43" s="356"/>
      <c r="L43" s="360"/>
    </row>
    <row r="44" spans="1:12" ht="15">
      <c r="A44" s="295">
        <v>4</v>
      </c>
      <c r="C44" s="278">
        <v>4</v>
      </c>
      <c r="D44" s="304" t="str">
        <f>IF(A44=1,"Oficial Especializado",IF(A44=2,"Oficial",IF(A44=3,"Medio oficial",IF(A44=4,"Ayudante",IF(A44=5,"Maquinista",0)))))</f>
        <v>Ayudante</v>
      </c>
      <c r="E44" s="365"/>
      <c r="F44" s="365"/>
      <c r="G44" s="275">
        <f>+'Mano de Obra'!I47</f>
        <v>286.54000000000002</v>
      </c>
      <c r="H44" s="356" t="s">
        <v>146</v>
      </c>
      <c r="I44" s="356">
        <f>+G44*C44</f>
        <v>1146.1600000000001</v>
      </c>
      <c r="J44" s="356" t="s">
        <v>143</v>
      </c>
      <c r="K44" s="356"/>
      <c r="L44" s="360"/>
    </row>
    <row r="45" spans="1:12" ht="15">
      <c r="C45" s="278"/>
      <c r="D45" s="294"/>
      <c r="E45" s="365"/>
      <c r="F45" s="365"/>
      <c r="G45" s="356"/>
      <c r="H45" s="356"/>
      <c r="I45" s="361">
        <f>SUM(I43:I44)</f>
        <v>1823.3400000000001</v>
      </c>
      <c r="J45" s="356" t="str">
        <f>+J44</f>
        <v>$/d</v>
      </c>
      <c r="K45" s="356"/>
      <c r="L45" s="360"/>
    </row>
    <row r="46" spans="1:12" ht="15">
      <c r="C46" s="325" t="s">
        <v>162</v>
      </c>
      <c r="D46" s="294"/>
      <c r="E46" s="356"/>
      <c r="F46" s="356" t="s">
        <v>234</v>
      </c>
      <c r="G46" s="356"/>
      <c r="H46" s="356"/>
      <c r="I46" s="356"/>
      <c r="J46" s="356"/>
      <c r="K46" s="356" t="e">
        <f>+K40+I45</f>
        <v>#N/A</v>
      </c>
      <c r="L46" s="360" t="s">
        <v>143</v>
      </c>
    </row>
    <row r="47" spans="1:12" ht="15">
      <c r="C47" s="292" t="s">
        <v>150</v>
      </c>
      <c r="D47" s="294"/>
      <c r="E47" s="356">
        <v>75</v>
      </c>
      <c r="F47" s="356" t="s">
        <v>163</v>
      </c>
      <c r="G47" s="356"/>
      <c r="H47" s="356"/>
      <c r="I47" s="356"/>
      <c r="J47" s="356"/>
      <c r="K47" s="356"/>
      <c r="L47" s="360"/>
    </row>
    <row r="48" spans="1:12" ht="15">
      <c r="C48" s="292" t="s">
        <v>164</v>
      </c>
      <c r="D48" s="294"/>
      <c r="E48" s="356" t="e">
        <f>+K46</f>
        <v>#N/A</v>
      </c>
      <c r="F48" s="356" t="s">
        <v>154</v>
      </c>
      <c r="G48" s="356">
        <v>75</v>
      </c>
      <c r="H48" s="356" t="s">
        <v>163</v>
      </c>
      <c r="I48" s="356" t="s">
        <v>155</v>
      </c>
      <c r="J48" s="356"/>
      <c r="K48" s="356" t="e">
        <f>+E48/G48</f>
        <v>#N/A</v>
      </c>
      <c r="L48" s="360" t="s">
        <v>91</v>
      </c>
    </row>
    <row r="49" spans="3:12" ht="15">
      <c r="C49" s="278"/>
      <c r="D49" s="294"/>
      <c r="E49" s="365"/>
      <c r="F49" s="365"/>
      <c r="G49" s="356"/>
      <c r="H49" s="356"/>
      <c r="I49" s="356"/>
      <c r="J49" s="356"/>
      <c r="K49" s="356"/>
      <c r="L49" s="360"/>
    </row>
    <row r="50" spans="3:12" ht="15">
      <c r="C50" s="285" t="s">
        <v>239</v>
      </c>
      <c r="D50" s="287"/>
      <c r="E50" s="368"/>
      <c r="F50" s="368"/>
      <c r="G50" s="368"/>
      <c r="H50" s="368"/>
      <c r="I50" s="368"/>
      <c r="J50" s="368"/>
      <c r="K50" s="368" t="e">
        <f>+K48</f>
        <v>#N/A</v>
      </c>
      <c r="L50" s="369" t="s">
        <v>91</v>
      </c>
    </row>
    <row r="51" spans="3:12" ht="15.75">
      <c r="C51" s="278"/>
      <c r="D51" s="294"/>
      <c r="E51" s="362"/>
      <c r="F51" s="362"/>
      <c r="G51" s="362"/>
      <c r="H51" s="362"/>
      <c r="I51" s="362"/>
      <c r="J51" s="362"/>
      <c r="K51" s="362"/>
      <c r="L51" s="363"/>
    </row>
    <row r="52" spans="3:12" ht="15">
      <c r="C52" s="325" t="s">
        <v>240</v>
      </c>
      <c r="D52" s="294"/>
      <c r="E52" s="356" t="s">
        <v>241</v>
      </c>
      <c r="F52" s="356"/>
      <c r="G52" s="356"/>
      <c r="H52" s="356"/>
      <c r="I52" s="356"/>
      <c r="J52" s="356"/>
      <c r="K52" s="356" t="e">
        <f>F3*K18+F20*K32+F34*K50</f>
        <v>#N/A</v>
      </c>
      <c r="L52" s="360" t="s">
        <v>91</v>
      </c>
    </row>
    <row r="53" spans="3:12" ht="15.75" thickBot="1">
      <c r="C53" s="292" t="s">
        <v>228</v>
      </c>
      <c r="D53" s="284"/>
      <c r="E53" s="370"/>
      <c r="F53" s="370" t="e">
        <f>+#REF!</f>
        <v>#REF!</v>
      </c>
      <c r="G53" s="370" t="s">
        <v>159</v>
      </c>
      <c r="H53" s="324" t="e">
        <f>+K52</f>
        <v>#N/A</v>
      </c>
      <c r="I53" s="356" t="s">
        <v>91</v>
      </c>
      <c r="J53" s="370" t="s">
        <v>155</v>
      </c>
      <c r="K53" s="371" t="e">
        <f>+H53*F53</f>
        <v>#N/A</v>
      </c>
      <c r="L53" s="360" t="s">
        <v>91</v>
      </c>
    </row>
    <row r="54" spans="3:12" ht="17.25" thickTop="1" thickBot="1">
      <c r="C54" s="1021" t="s">
        <v>160</v>
      </c>
      <c r="D54" s="1022"/>
      <c r="E54" s="1022"/>
      <c r="F54" s="372" t="e">
        <f>ROUND(K53,2)</f>
        <v>#N/A</v>
      </c>
      <c r="G54" s="315" t="s">
        <v>91</v>
      </c>
      <c r="H54" s="315"/>
      <c r="I54" s="315"/>
      <c r="J54" s="315"/>
      <c r="K54" s="315"/>
      <c r="L54" s="323"/>
    </row>
    <row r="55" spans="3:12" ht="14.25" thickTop="1"/>
  </sheetData>
  <mergeCells count="13">
    <mergeCell ref="C54:E54"/>
    <mergeCell ref="C1:L1"/>
    <mergeCell ref="E24:F24"/>
    <mergeCell ref="E25:F25"/>
    <mergeCell ref="E26:F26"/>
    <mergeCell ref="E27:F27"/>
    <mergeCell ref="Q11:S12"/>
    <mergeCell ref="Q13:S13"/>
    <mergeCell ref="Q15:S15"/>
    <mergeCell ref="Q16:S16"/>
    <mergeCell ref="C21:D21"/>
    <mergeCell ref="E21:F21"/>
    <mergeCell ref="G21:I21"/>
  </mergeCells>
  <hyperlinks>
    <hyperlink ref="N1" location="Presupuesto!A1" display="PRESUPUESTO"/>
    <hyperlink ref="N2" location="'Costos Equipos '!A1" display="Equipos"/>
    <hyperlink ref="W1" location="'Pres-gav.'!A1" display="PRESUPUESTO"/>
    <hyperlink ref="W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rowBreaks count="1" manualBreakCount="1">
    <brk id="41" min="1" max="11" man="1"/>
  </row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B1:N87"/>
  <sheetViews>
    <sheetView showGridLines="0" view="pageBreakPreview" topLeftCell="A13" zoomScaleNormal="100" zoomScaleSheetLayoutView="100" workbookViewId="0">
      <selection activeCell="L36" sqref="L36"/>
    </sheetView>
  </sheetViews>
  <sheetFormatPr baseColWidth="10" defaultRowHeight="15"/>
  <cols>
    <col min="1" max="1" width="1.7109375" customWidth="1"/>
    <col min="2" max="2" width="24.7109375" customWidth="1"/>
    <col min="3" max="3" width="6.7109375" customWidth="1"/>
    <col min="4" max="4" width="7.7109375" customWidth="1"/>
    <col min="5" max="5" width="2" customWidth="1"/>
    <col min="6" max="7" width="7.7109375" customWidth="1"/>
    <col min="8" max="8" width="3.7109375" customWidth="1"/>
    <col min="9" max="9" width="15.28515625" style="177" customWidth="1"/>
    <col min="10" max="10" width="10.28515625" customWidth="1"/>
  </cols>
  <sheetData>
    <row r="1" spans="2:14" ht="24.95" customHeight="1" thickTop="1" thickBot="1">
      <c r="B1" s="1024" t="s">
        <v>180</v>
      </c>
      <c r="C1" s="1025"/>
      <c r="D1" s="1025"/>
      <c r="E1" s="1025"/>
      <c r="F1" s="1025"/>
      <c r="G1" s="1025"/>
      <c r="H1" s="1025"/>
      <c r="I1" s="1025"/>
      <c r="J1" s="1026"/>
    </row>
    <row r="2" spans="2:14" ht="15" customHeight="1" thickTop="1" thickBot="1">
      <c r="B2" s="163" t="s">
        <v>181</v>
      </c>
      <c r="C2" s="164"/>
      <c r="D2" s="164"/>
      <c r="E2" s="164"/>
      <c r="F2" s="164"/>
      <c r="G2" s="164"/>
      <c r="H2" s="164"/>
      <c r="I2" s="164"/>
      <c r="J2" s="165"/>
    </row>
    <row r="3" spans="2:14" ht="15" customHeight="1" thickTop="1">
      <c r="B3" s="166" t="s">
        <v>182</v>
      </c>
      <c r="C3" s="494"/>
      <c r="D3" s="495"/>
      <c r="E3" s="495"/>
      <c r="F3" s="494"/>
      <c r="G3" s="495"/>
      <c r="H3" s="495"/>
      <c r="I3" s="167"/>
      <c r="J3" s="168"/>
    </row>
    <row r="4" spans="2:14" s="114" customFormat="1" ht="15" customHeight="1">
      <c r="B4" s="169" t="s">
        <v>183</v>
      </c>
      <c r="C4" s="256">
        <v>0.34</v>
      </c>
      <c r="D4" s="496" t="s">
        <v>170</v>
      </c>
      <c r="E4" s="496" t="s">
        <v>159</v>
      </c>
      <c r="F4" s="496" t="e">
        <f>'AUX  AC Materiales'!#REF!</f>
        <v>#REF!</v>
      </c>
      <c r="G4" s="256" t="s">
        <v>184</v>
      </c>
      <c r="H4" s="256" t="s">
        <v>155</v>
      </c>
      <c r="I4" s="256" t="e">
        <f>C4*F4</f>
        <v>#REF!</v>
      </c>
      <c r="J4" s="497" t="s">
        <v>91</v>
      </c>
      <c r="K4" s="162"/>
      <c r="L4" s="162"/>
      <c r="M4" s="162"/>
      <c r="N4" s="162"/>
    </row>
    <row r="5" spans="2:14" s="114" customFormat="1" ht="15" customHeight="1">
      <c r="B5" s="169" t="s">
        <v>185</v>
      </c>
      <c r="C5" s="256">
        <f>1.5*0.6</f>
        <v>0.89999999999999991</v>
      </c>
      <c r="D5" s="496" t="s">
        <v>170</v>
      </c>
      <c r="E5" s="496" t="s">
        <v>159</v>
      </c>
      <c r="F5" s="496" t="e">
        <f>'AUX  AC Materiales'!#REF!</f>
        <v>#REF!</v>
      </c>
      <c r="G5" s="256" t="s">
        <v>184</v>
      </c>
      <c r="H5" s="256" t="s">
        <v>155</v>
      </c>
      <c r="I5" s="256" t="e">
        <f>C5*F5</f>
        <v>#REF!</v>
      </c>
      <c r="J5" s="497" t="s">
        <v>91</v>
      </c>
      <c r="K5" s="162"/>
      <c r="L5" s="162"/>
      <c r="M5" s="162"/>
      <c r="N5" s="162"/>
    </row>
    <row r="6" spans="2:14" s="114" customFormat="1" ht="15" customHeight="1">
      <c r="B6" s="169" t="s">
        <v>186</v>
      </c>
      <c r="C6" s="256">
        <f>1.5*0.4</f>
        <v>0.60000000000000009</v>
      </c>
      <c r="D6" s="496" t="s">
        <v>170</v>
      </c>
      <c r="E6" s="496" t="s">
        <v>159</v>
      </c>
      <c r="F6" s="496" t="e">
        <f>'AUX  AC Materiales'!#REF!</f>
        <v>#REF!</v>
      </c>
      <c r="G6" s="256" t="s">
        <v>184</v>
      </c>
      <c r="H6" s="256" t="s">
        <v>155</v>
      </c>
      <c r="I6" s="256" t="e">
        <f>C6*F6</f>
        <v>#REF!</v>
      </c>
      <c r="J6" s="497" t="s">
        <v>91</v>
      </c>
      <c r="K6" s="162"/>
      <c r="L6" s="162"/>
      <c r="M6" s="162"/>
      <c r="N6" s="162"/>
    </row>
    <row r="7" spans="2:14" s="114" customFormat="1" ht="15" customHeight="1">
      <c r="B7" s="169" t="s">
        <v>187</v>
      </c>
      <c r="C7" s="256">
        <v>0.55000000000000004</v>
      </c>
      <c r="D7" s="496" t="s">
        <v>170</v>
      </c>
      <c r="E7" s="496" t="s">
        <v>159</v>
      </c>
      <c r="F7" s="496" t="e">
        <f>'AUX  AC Materiales'!#REF!</f>
        <v>#REF!</v>
      </c>
      <c r="G7" s="256" t="s">
        <v>184</v>
      </c>
      <c r="H7" s="256" t="s">
        <v>155</v>
      </c>
      <c r="I7" s="256" t="e">
        <f>C7*F7</f>
        <v>#REF!</v>
      </c>
      <c r="J7" s="497" t="s">
        <v>91</v>
      </c>
      <c r="K7" s="162"/>
      <c r="L7" s="162"/>
      <c r="M7" s="162"/>
      <c r="N7" s="162"/>
    </row>
    <row r="8" spans="2:14" s="114" customFormat="1" ht="15" customHeight="1">
      <c r="B8" s="169" t="s">
        <v>90</v>
      </c>
      <c r="C8" s="256">
        <f>C4*0.45</f>
        <v>0.15300000000000002</v>
      </c>
      <c r="D8" s="496" t="s">
        <v>188</v>
      </c>
      <c r="E8" s="496" t="s">
        <v>159</v>
      </c>
      <c r="F8" s="496" t="e">
        <f>+'Precios Básicos Materiales'!#REF!</f>
        <v>#REF!</v>
      </c>
      <c r="G8" s="496" t="s">
        <v>91</v>
      </c>
      <c r="H8" s="256" t="s">
        <v>155</v>
      </c>
      <c r="I8" s="257" t="e">
        <f>C8*F8</f>
        <v>#REF!</v>
      </c>
      <c r="J8" s="497" t="s">
        <v>91</v>
      </c>
      <c r="K8" s="162"/>
      <c r="L8" s="162"/>
      <c r="M8" s="162"/>
      <c r="N8" s="162"/>
    </row>
    <row r="9" spans="2:14" ht="15" customHeight="1">
      <c r="B9" s="498"/>
      <c r="C9" s="496"/>
      <c r="D9" s="496"/>
      <c r="E9" s="496"/>
      <c r="F9" s="496"/>
      <c r="G9" s="496"/>
      <c r="H9" s="496"/>
      <c r="I9" s="258" t="e">
        <f>SUM(I4:I8)</f>
        <v>#REF!</v>
      </c>
      <c r="J9" s="259" t="s">
        <v>91</v>
      </c>
    </row>
    <row r="10" spans="2:14" ht="15" customHeight="1" thickBot="1">
      <c r="B10" s="498"/>
      <c r="C10" s="496"/>
      <c r="D10" s="496"/>
      <c r="E10" s="496"/>
      <c r="F10" s="496"/>
      <c r="G10" s="496"/>
      <c r="H10" s="496"/>
      <c r="I10" s="258"/>
      <c r="J10" s="259"/>
    </row>
    <row r="11" spans="2:14" ht="15" customHeight="1" thickTop="1" thickBot="1">
      <c r="B11" s="163" t="s">
        <v>189</v>
      </c>
      <c r="C11" s="499"/>
      <c r="D11" s="499"/>
      <c r="E11" s="499"/>
      <c r="F11" s="499"/>
      <c r="G11" s="499"/>
      <c r="H11" s="499"/>
      <c r="I11" s="499"/>
      <c r="J11" s="500"/>
    </row>
    <row r="12" spans="2:14" ht="15" customHeight="1" thickTop="1">
      <c r="B12" s="166" t="s">
        <v>190</v>
      </c>
      <c r="C12" s="496"/>
      <c r="D12" s="496"/>
      <c r="E12" s="496"/>
      <c r="F12" s="496"/>
      <c r="G12" s="496"/>
      <c r="H12" s="496"/>
      <c r="I12" s="258"/>
      <c r="J12" s="259"/>
    </row>
    <row r="13" spans="2:14" ht="15" customHeight="1">
      <c r="B13" s="169" t="s">
        <v>183</v>
      </c>
      <c r="C13" s="256">
        <v>0.3</v>
      </c>
      <c r="D13" s="496" t="s">
        <v>170</v>
      </c>
      <c r="E13" s="496" t="s">
        <v>159</v>
      </c>
      <c r="F13" s="496" t="e">
        <f>'AUX  AC Materiales'!#REF!</f>
        <v>#REF!</v>
      </c>
      <c r="G13" s="256" t="s">
        <v>184</v>
      </c>
      <c r="H13" s="256" t="s">
        <v>155</v>
      </c>
      <c r="I13" s="256" t="e">
        <f>C13*F13</f>
        <v>#REF!</v>
      </c>
      <c r="J13" s="497" t="s">
        <v>91</v>
      </c>
    </row>
    <row r="14" spans="2:14" ht="15" customHeight="1">
      <c r="B14" s="169" t="s">
        <v>185</v>
      </c>
      <c r="C14" s="256">
        <f>1.5*0.6</f>
        <v>0.89999999999999991</v>
      </c>
      <c r="D14" s="496" t="s">
        <v>170</v>
      </c>
      <c r="E14" s="496" t="s">
        <v>159</v>
      </c>
      <c r="F14" s="496" t="e">
        <f>'AUX  AC Materiales'!#REF!</f>
        <v>#REF!</v>
      </c>
      <c r="G14" s="256" t="s">
        <v>184</v>
      </c>
      <c r="H14" s="256" t="s">
        <v>155</v>
      </c>
      <c r="I14" s="256" t="e">
        <f>C14*F14</f>
        <v>#REF!</v>
      </c>
      <c r="J14" s="497" t="s">
        <v>91</v>
      </c>
    </row>
    <row r="15" spans="2:14" ht="15" customHeight="1">
      <c r="B15" s="169" t="s">
        <v>186</v>
      </c>
      <c r="C15" s="256">
        <f>1.5*0.4</f>
        <v>0.60000000000000009</v>
      </c>
      <c r="D15" s="496" t="s">
        <v>170</v>
      </c>
      <c r="E15" s="496" t="s">
        <v>159</v>
      </c>
      <c r="F15" s="496" t="e">
        <f>'AUX  AC Materiales'!#REF!</f>
        <v>#REF!</v>
      </c>
      <c r="G15" s="256" t="s">
        <v>184</v>
      </c>
      <c r="H15" s="256" t="s">
        <v>155</v>
      </c>
      <c r="I15" s="256" t="e">
        <f>C15*F15</f>
        <v>#REF!</v>
      </c>
      <c r="J15" s="497" t="s">
        <v>91</v>
      </c>
    </row>
    <row r="16" spans="2:14" ht="15" customHeight="1">
      <c r="B16" s="169" t="s">
        <v>187</v>
      </c>
      <c r="C16" s="256">
        <v>0.55000000000000004</v>
      </c>
      <c r="D16" s="496" t="s">
        <v>170</v>
      </c>
      <c r="E16" s="496" t="s">
        <v>159</v>
      </c>
      <c r="F16" s="496" t="e">
        <f>'AUX  AC Materiales'!#REF!</f>
        <v>#REF!</v>
      </c>
      <c r="G16" s="256" t="s">
        <v>184</v>
      </c>
      <c r="H16" s="256" t="s">
        <v>155</v>
      </c>
      <c r="I16" s="256" t="e">
        <f>C16*F16</f>
        <v>#REF!</v>
      </c>
      <c r="J16" s="497" t="s">
        <v>91</v>
      </c>
    </row>
    <row r="17" spans="2:10" ht="15" customHeight="1">
      <c r="B17" s="169" t="s">
        <v>90</v>
      </c>
      <c r="C17" s="256">
        <f>C13*0.5</f>
        <v>0.15</v>
      </c>
      <c r="D17" s="496" t="s">
        <v>188</v>
      </c>
      <c r="E17" s="496" t="s">
        <v>159</v>
      </c>
      <c r="F17" s="496" t="e">
        <f>+'Precios Básicos Materiales'!#REF!</f>
        <v>#REF!</v>
      </c>
      <c r="G17" s="496" t="s">
        <v>91</v>
      </c>
      <c r="H17" s="256" t="s">
        <v>155</v>
      </c>
      <c r="I17" s="256" t="e">
        <f>C17*F17</f>
        <v>#REF!</v>
      </c>
      <c r="J17" s="497" t="s">
        <v>91</v>
      </c>
    </row>
    <row r="18" spans="2:10">
      <c r="B18" s="498"/>
      <c r="C18" s="496"/>
      <c r="D18" s="496"/>
      <c r="E18" s="496"/>
      <c r="F18" s="496"/>
      <c r="G18" s="496"/>
      <c r="H18" s="496"/>
      <c r="I18" s="260" t="e">
        <f>SUM(I13:I17)</f>
        <v>#REF!</v>
      </c>
      <c r="J18" s="259" t="s">
        <v>91</v>
      </c>
    </row>
    <row r="19" spans="2:10" ht="15.75" thickBot="1">
      <c r="B19" s="498"/>
      <c r="C19" s="494"/>
      <c r="D19" s="495"/>
      <c r="E19" s="495"/>
      <c r="F19" s="494"/>
      <c r="G19" s="495"/>
      <c r="H19" s="495"/>
      <c r="I19" s="250"/>
      <c r="J19" s="168"/>
    </row>
    <row r="20" spans="2:10" ht="16.5" thickTop="1" thickBot="1">
      <c r="B20" s="163" t="s">
        <v>191</v>
      </c>
      <c r="C20" s="501"/>
      <c r="D20" s="502"/>
      <c r="E20" s="502"/>
      <c r="F20" s="501"/>
      <c r="G20" s="502"/>
      <c r="H20" s="502"/>
      <c r="I20" s="503"/>
      <c r="J20" s="504"/>
    </row>
    <row r="21" spans="2:10" ht="15.75" thickTop="1">
      <c r="B21" s="170" t="s">
        <v>192</v>
      </c>
      <c r="C21" s="505"/>
      <c r="D21" s="506"/>
      <c r="E21" s="506"/>
      <c r="F21" s="505"/>
      <c r="G21" s="506"/>
      <c r="H21" s="506"/>
      <c r="I21" s="171"/>
      <c r="J21" s="172"/>
    </row>
    <row r="22" spans="2:10">
      <c r="B22" s="507" t="s">
        <v>183</v>
      </c>
      <c r="C22" s="508">
        <v>0.15</v>
      </c>
      <c r="D22" s="508" t="s">
        <v>170</v>
      </c>
      <c r="E22" s="508" t="s">
        <v>159</v>
      </c>
      <c r="F22" s="496" t="e">
        <f>'AUX  AC Materiales'!#REF!</f>
        <v>#REF!</v>
      </c>
      <c r="G22" s="508" t="s">
        <v>171</v>
      </c>
      <c r="H22" s="508" t="s">
        <v>155</v>
      </c>
      <c r="I22" s="508" t="e">
        <f>+F22*C22</f>
        <v>#REF!</v>
      </c>
      <c r="J22" s="509" t="s">
        <v>91</v>
      </c>
    </row>
    <row r="23" spans="2:10">
      <c r="B23" s="507" t="s">
        <v>193</v>
      </c>
      <c r="C23" s="508">
        <v>1.3</v>
      </c>
      <c r="D23" s="508" t="s">
        <v>170</v>
      </c>
      <c r="E23" s="508" t="s">
        <v>159</v>
      </c>
      <c r="F23" s="496" t="e">
        <f>'AUX  AC Materiales'!#REF!</f>
        <v>#REF!</v>
      </c>
      <c r="G23" s="508" t="s">
        <v>171</v>
      </c>
      <c r="H23" s="508" t="s">
        <v>155</v>
      </c>
      <c r="I23" s="508" t="e">
        <f>+F23*C23</f>
        <v>#REF!</v>
      </c>
      <c r="J23" s="509" t="s">
        <v>91</v>
      </c>
    </row>
    <row r="24" spans="2:10">
      <c r="B24" s="169" t="s">
        <v>187</v>
      </c>
      <c r="C24" s="508">
        <v>0.95</v>
      </c>
      <c r="D24" s="508" t="s">
        <v>170</v>
      </c>
      <c r="E24" s="508" t="s">
        <v>159</v>
      </c>
      <c r="F24" s="496" t="e">
        <f>'AUX  AC Materiales'!#REF!</f>
        <v>#REF!</v>
      </c>
      <c r="G24" s="508" t="s">
        <v>171</v>
      </c>
      <c r="H24" s="508" t="s">
        <v>155</v>
      </c>
      <c r="I24" s="508" t="e">
        <f>+F24*C24</f>
        <v>#REF!</v>
      </c>
      <c r="J24" s="509" t="s">
        <v>91</v>
      </c>
    </row>
    <row r="25" spans="2:10">
      <c r="B25" s="507" t="s">
        <v>90</v>
      </c>
      <c r="C25" s="508">
        <v>0.1</v>
      </c>
      <c r="D25" s="508" t="s">
        <v>188</v>
      </c>
      <c r="E25" s="508" t="s">
        <v>159</v>
      </c>
      <c r="F25" s="496" t="e">
        <f>+'Precios Básicos Materiales'!#REF!</f>
        <v>#REF!</v>
      </c>
      <c r="G25" s="508" t="s">
        <v>91</v>
      </c>
      <c r="H25" s="508" t="s">
        <v>155</v>
      </c>
      <c r="I25" s="510" t="e">
        <f>+F25*C25</f>
        <v>#REF!</v>
      </c>
      <c r="J25" s="509" t="s">
        <v>91</v>
      </c>
    </row>
    <row r="26" spans="2:10">
      <c r="B26" s="507"/>
      <c r="C26" s="508"/>
      <c r="D26" s="508"/>
      <c r="E26" s="508"/>
      <c r="F26" s="508"/>
      <c r="G26" s="508"/>
      <c r="H26" s="508"/>
      <c r="I26" s="261" t="e">
        <f>SUM(I22:I25)</f>
        <v>#REF!</v>
      </c>
      <c r="J26" s="262" t="str">
        <f>+J25</f>
        <v>$/m³</v>
      </c>
    </row>
    <row r="27" spans="2:10">
      <c r="B27" s="511"/>
      <c r="C27" s="510"/>
      <c r="D27" s="510"/>
      <c r="E27" s="510"/>
      <c r="F27" s="510"/>
      <c r="G27" s="510"/>
      <c r="H27" s="510"/>
      <c r="I27" s="510"/>
      <c r="J27" s="512"/>
    </row>
    <row r="28" spans="2:10">
      <c r="B28" s="173" t="s">
        <v>194</v>
      </c>
      <c r="C28" s="513"/>
      <c r="D28" s="513"/>
      <c r="E28" s="513"/>
      <c r="F28" s="513"/>
      <c r="G28" s="513"/>
      <c r="H28" s="513"/>
      <c r="I28" s="513"/>
      <c r="J28" s="514"/>
    </row>
    <row r="29" spans="2:10">
      <c r="B29" s="515"/>
      <c r="C29" s="508"/>
      <c r="D29" s="508"/>
      <c r="E29" s="508"/>
      <c r="F29" s="508"/>
      <c r="G29" s="508"/>
      <c r="H29" s="508"/>
      <c r="I29" s="508"/>
      <c r="J29" s="509"/>
    </row>
    <row r="30" spans="2:10">
      <c r="B30" s="516" t="s">
        <v>183</v>
      </c>
      <c r="C30" s="517">
        <v>0.12</v>
      </c>
      <c r="D30" s="508" t="s">
        <v>170</v>
      </c>
      <c r="E30" s="508" t="s">
        <v>159</v>
      </c>
      <c r="F30" s="496" t="e">
        <f>'AUX  AC Materiales'!#REF!</f>
        <v>#REF!</v>
      </c>
      <c r="G30" s="517" t="s">
        <v>184</v>
      </c>
      <c r="H30" s="517" t="s">
        <v>155</v>
      </c>
      <c r="I30" s="517" t="e">
        <f>C30*F30</f>
        <v>#REF!</v>
      </c>
      <c r="J30" s="518" t="str">
        <f>+J24</f>
        <v>$/m³</v>
      </c>
    </row>
    <row r="31" spans="2:10">
      <c r="B31" s="516" t="s">
        <v>185</v>
      </c>
      <c r="C31" s="517">
        <f>1.5*0.6</f>
        <v>0.89999999999999991</v>
      </c>
      <c r="D31" s="508" t="s">
        <v>170</v>
      </c>
      <c r="E31" s="508" t="s">
        <v>159</v>
      </c>
      <c r="F31" s="496" t="e">
        <f>'AUX  AC Materiales'!#REF!</f>
        <v>#REF!</v>
      </c>
      <c r="G31" s="517" t="s">
        <v>184</v>
      </c>
      <c r="H31" s="517" t="s">
        <v>155</v>
      </c>
      <c r="I31" s="517" t="e">
        <f>C31*F31</f>
        <v>#REF!</v>
      </c>
      <c r="J31" s="518" t="str">
        <f>+J25</f>
        <v>$/m³</v>
      </c>
    </row>
    <row r="32" spans="2:10">
      <c r="B32" s="516" t="s">
        <v>186</v>
      </c>
      <c r="C32" s="517">
        <f>1.5*0.4</f>
        <v>0.60000000000000009</v>
      </c>
      <c r="D32" s="508" t="s">
        <v>170</v>
      </c>
      <c r="E32" s="508" t="s">
        <v>159</v>
      </c>
      <c r="F32" s="496" t="e">
        <f>'AUX  AC Materiales'!#REF!</f>
        <v>#REF!</v>
      </c>
      <c r="G32" s="517" t="s">
        <v>184</v>
      </c>
      <c r="H32" s="517" t="s">
        <v>155</v>
      </c>
      <c r="I32" s="517" t="e">
        <f>C32*F32</f>
        <v>#REF!</v>
      </c>
      <c r="J32" s="518" t="str">
        <f>+J25</f>
        <v>$/m³</v>
      </c>
    </row>
    <row r="33" spans="2:10">
      <c r="B33" s="516" t="s">
        <v>187</v>
      </c>
      <c r="C33" s="517">
        <v>0.55000000000000004</v>
      </c>
      <c r="D33" s="508" t="s">
        <v>170</v>
      </c>
      <c r="E33" s="508" t="s">
        <v>159</v>
      </c>
      <c r="F33" s="496" t="e">
        <f>'AUX  AC Materiales'!#REF!</f>
        <v>#REF!</v>
      </c>
      <c r="G33" s="517" t="s">
        <v>184</v>
      </c>
      <c r="H33" s="517" t="s">
        <v>155</v>
      </c>
      <c r="I33" s="517" t="e">
        <f>C33*F33</f>
        <v>#REF!</v>
      </c>
      <c r="J33" s="518" t="str">
        <f>+J26</f>
        <v>$/m³</v>
      </c>
    </row>
    <row r="34" spans="2:10">
      <c r="B34" s="516" t="s">
        <v>90</v>
      </c>
      <c r="C34" s="517">
        <f>C30*0.65</f>
        <v>7.8E-2</v>
      </c>
      <c r="D34" s="508" t="s">
        <v>188</v>
      </c>
      <c r="E34" s="508" t="s">
        <v>159</v>
      </c>
      <c r="F34" s="496" t="e">
        <f>+'Precios Básicos Materiales'!#REF!</f>
        <v>#REF!</v>
      </c>
      <c r="G34" s="508" t="s">
        <v>91</v>
      </c>
      <c r="H34" s="517" t="s">
        <v>155</v>
      </c>
      <c r="I34" s="519" t="e">
        <f>C34*F34</f>
        <v>#REF!</v>
      </c>
      <c r="J34" s="518" t="str">
        <f>+J25</f>
        <v>$/m³</v>
      </c>
    </row>
    <row r="35" spans="2:10">
      <c r="B35" s="507"/>
      <c r="C35" s="508"/>
      <c r="D35" s="508"/>
      <c r="E35" s="508"/>
      <c r="F35" s="508"/>
      <c r="G35" s="508"/>
      <c r="H35" s="508"/>
      <c r="I35" s="261" t="e">
        <f>SUM(I30:I34)</f>
        <v>#REF!</v>
      </c>
      <c r="J35" s="263" t="str">
        <f>+J26</f>
        <v>$/m³</v>
      </c>
    </row>
    <row r="36" spans="2:10" ht="15.75" thickBot="1">
      <c r="B36" s="520"/>
      <c r="C36" s="521"/>
      <c r="D36" s="522"/>
      <c r="E36" s="522"/>
      <c r="F36" s="521"/>
      <c r="G36" s="522"/>
      <c r="H36" s="522"/>
      <c r="I36" s="523"/>
      <c r="J36" s="524"/>
    </row>
    <row r="37" spans="2:10" ht="15.75" thickTop="1">
      <c r="C37" s="174"/>
      <c r="D37" s="3"/>
      <c r="E37" s="3"/>
      <c r="F37" s="174"/>
      <c r="G37" s="3"/>
      <c r="H37" s="3"/>
      <c r="I37" s="175"/>
      <c r="J37" s="3"/>
    </row>
    <row r="38" spans="2:10">
      <c r="C38" s="174"/>
      <c r="D38" s="3"/>
      <c r="E38" s="3"/>
      <c r="F38" s="174"/>
      <c r="G38" s="3"/>
      <c r="H38" s="3"/>
      <c r="I38" s="175"/>
      <c r="J38" s="3"/>
    </row>
    <row r="39" spans="2:10">
      <c r="C39" s="174"/>
      <c r="D39" s="3"/>
      <c r="E39" s="3"/>
      <c r="F39" s="174"/>
      <c r="G39" s="3"/>
      <c r="H39" s="3"/>
      <c r="I39" s="175"/>
      <c r="J39" s="3"/>
    </row>
    <row r="40" spans="2:10">
      <c r="C40" s="174"/>
      <c r="D40" s="3"/>
      <c r="E40" s="3"/>
      <c r="F40" s="174"/>
      <c r="G40" s="3"/>
      <c r="H40" s="3"/>
      <c r="I40" s="175"/>
      <c r="J40" s="3"/>
    </row>
    <row r="41" spans="2:10">
      <c r="C41" s="174"/>
      <c r="D41" s="3"/>
      <c r="E41" s="3"/>
      <c r="F41" s="174"/>
      <c r="G41" s="3"/>
      <c r="H41" s="3"/>
      <c r="I41" s="175"/>
      <c r="J41" s="3"/>
    </row>
    <row r="42" spans="2:10">
      <c r="C42" s="176"/>
    </row>
    <row r="43" spans="2:10">
      <c r="C43" s="176"/>
    </row>
    <row r="44" spans="2:10">
      <c r="C44" s="176"/>
    </row>
    <row r="45" spans="2:10">
      <c r="C45" s="176"/>
    </row>
    <row r="46" spans="2:10">
      <c r="C46" s="176"/>
    </row>
    <row r="47" spans="2:10">
      <c r="C47" s="176"/>
    </row>
    <row r="48" spans="2:10">
      <c r="C48" s="176"/>
    </row>
    <row r="49" spans="3:3">
      <c r="C49" s="176"/>
    </row>
    <row r="50" spans="3:3">
      <c r="C50" s="176"/>
    </row>
    <row r="51" spans="3:3">
      <c r="C51" s="176"/>
    </row>
    <row r="52" spans="3:3">
      <c r="C52" s="176"/>
    </row>
    <row r="53" spans="3:3">
      <c r="C53" s="176"/>
    </row>
    <row r="54" spans="3:3">
      <c r="C54" s="176"/>
    </row>
    <row r="55" spans="3:3">
      <c r="C55" s="176"/>
    </row>
    <row r="56" spans="3:3">
      <c r="C56" s="176"/>
    </row>
    <row r="57" spans="3:3">
      <c r="C57" s="176"/>
    </row>
    <row r="58" spans="3:3">
      <c r="C58" s="176"/>
    </row>
    <row r="59" spans="3:3">
      <c r="C59" s="176"/>
    </row>
    <row r="60" spans="3:3">
      <c r="C60" s="176"/>
    </row>
    <row r="61" spans="3:3">
      <c r="C61" s="176"/>
    </row>
    <row r="62" spans="3:3">
      <c r="C62" s="176"/>
    </row>
    <row r="63" spans="3:3">
      <c r="C63" s="176"/>
    </row>
    <row r="64" spans="3:3">
      <c r="C64" s="176"/>
    </row>
    <row r="65" spans="3:3">
      <c r="C65" s="176"/>
    </row>
    <row r="66" spans="3:3">
      <c r="C66" s="176"/>
    </row>
    <row r="67" spans="3:3">
      <c r="C67" s="176"/>
    </row>
    <row r="68" spans="3:3">
      <c r="C68" s="176"/>
    </row>
    <row r="69" spans="3:3">
      <c r="C69" s="176"/>
    </row>
    <row r="70" spans="3:3">
      <c r="C70" s="176"/>
    </row>
    <row r="71" spans="3:3">
      <c r="C71" s="176"/>
    </row>
    <row r="72" spans="3:3">
      <c r="C72" s="176"/>
    </row>
    <row r="73" spans="3:3">
      <c r="C73" s="176"/>
    </row>
    <row r="74" spans="3:3">
      <c r="C74" s="176"/>
    </row>
    <row r="75" spans="3:3">
      <c r="C75" s="176"/>
    </row>
    <row r="76" spans="3:3">
      <c r="C76" s="176"/>
    </row>
    <row r="77" spans="3:3">
      <c r="C77" s="176"/>
    </row>
    <row r="78" spans="3:3">
      <c r="C78" s="176"/>
    </row>
    <row r="79" spans="3:3">
      <c r="C79" s="176"/>
    </row>
    <row r="80" spans="3:3">
      <c r="C80" s="176"/>
    </row>
    <row r="81" spans="3:3">
      <c r="C81" s="176"/>
    </row>
    <row r="82" spans="3:3">
      <c r="C82" s="176"/>
    </row>
    <row r="83" spans="3:3">
      <c r="C83" s="176"/>
    </row>
    <row r="84" spans="3:3">
      <c r="C84" s="176"/>
    </row>
    <row r="85" spans="3:3">
      <c r="C85" s="176"/>
    </row>
    <row r="86" spans="3:3">
      <c r="C86" s="176"/>
    </row>
    <row r="87" spans="3:3">
      <c r="C87" s="176"/>
    </row>
  </sheetData>
  <mergeCells count="1">
    <mergeCell ref="B1:J1"/>
  </mergeCell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V33"/>
  <sheetViews>
    <sheetView showGridLines="0" view="pageBreakPreview" zoomScaleNormal="100" zoomScaleSheetLayoutView="100" workbookViewId="0">
      <selection activeCell="U15" sqref="U15"/>
    </sheetView>
  </sheetViews>
  <sheetFormatPr baseColWidth="10" defaultRowHeight="13.5"/>
  <cols>
    <col min="1" max="1" width="4.7109375" style="150" customWidth="1"/>
    <col min="2" max="2" width="3.5703125" style="151" customWidth="1"/>
    <col min="3" max="3" width="24.140625" style="151" customWidth="1"/>
    <col min="4" max="4" width="7" style="150" customWidth="1"/>
    <col min="5" max="5" width="7.85546875" style="151" customWidth="1"/>
    <col min="6" max="6" width="8.42578125" style="151" customWidth="1"/>
    <col min="7" max="7" width="8.7109375" style="151" customWidth="1"/>
    <col min="8" max="8" width="8.28515625" style="151" customWidth="1"/>
    <col min="9" max="9" width="3.28515625" style="151" customWidth="1"/>
    <col min="10" max="10" width="8.85546875" style="153" customWidth="1"/>
    <col min="11" max="11" width="6.28515625" style="154" customWidth="1"/>
    <col min="12" max="12" width="11" style="150" hidden="1" customWidth="1"/>
    <col min="13" max="13" width="18.85546875" style="151" hidden="1" customWidth="1"/>
    <col min="14" max="18" width="11" style="151" hidden="1" customWidth="1"/>
    <col min="19" max="19" width="12.28515625" style="150" hidden="1" customWidth="1"/>
    <col min="20" max="20" width="0" style="151" hidden="1" customWidth="1"/>
    <col min="21" max="16384" width="11.42578125" style="151"/>
  </cols>
  <sheetData>
    <row r="1" spans="1:22" s="108" customFormat="1" ht="19.5" thickTop="1" thickBot="1">
      <c r="A1" s="107"/>
      <c r="B1" s="986" t="s">
        <v>287</v>
      </c>
      <c r="C1" s="987"/>
      <c r="D1" s="987"/>
      <c r="E1" s="987"/>
      <c r="F1" s="987"/>
      <c r="G1" s="987"/>
      <c r="H1" s="987"/>
      <c r="I1" s="987"/>
      <c r="J1" s="987"/>
      <c r="K1" s="988"/>
      <c r="L1" s="107"/>
      <c r="S1" s="107"/>
      <c r="V1" s="305" t="s">
        <v>2</v>
      </c>
    </row>
    <row r="2" spans="1:22" s="114" customFormat="1" ht="15.75" thickTop="1">
      <c r="A2" s="110"/>
      <c r="B2" s="265" t="s">
        <v>133</v>
      </c>
      <c r="C2" s="434"/>
      <c r="D2" s="435" t="s">
        <v>167</v>
      </c>
      <c r="E2" s="435"/>
      <c r="F2" s="434" t="s">
        <v>135</v>
      </c>
      <c r="G2" s="435"/>
      <c r="H2" s="434" t="s">
        <v>136</v>
      </c>
      <c r="I2" s="435"/>
      <c r="J2" s="434"/>
      <c r="K2" s="436"/>
      <c r="L2" s="112"/>
      <c r="M2" s="113"/>
      <c r="N2" s="113"/>
      <c r="O2" s="113"/>
      <c r="P2" s="110" t="s">
        <v>137</v>
      </c>
      <c r="Q2" s="110" t="s">
        <v>138</v>
      </c>
      <c r="R2" s="110" t="s">
        <v>139</v>
      </c>
      <c r="S2" s="110" t="s">
        <v>140</v>
      </c>
      <c r="V2" s="109" t="s">
        <v>141</v>
      </c>
    </row>
    <row r="3" spans="1:22">
      <c r="B3" s="563"/>
      <c r="C3" s="564"/>
      <c r="D3" s="205"/>
      <c r="E3" s="564"/>
      <c r="F3" s="564"/>
      <c r="G3" s="564"/>
      <c r="H3" s="564"/>
      <c r="I3" s="564"/>
      <c r="J3" s="565"/>
      <c r="K3" s="566"/>
    </row>
    <row r="4" spans="1:22" s="114" customFormat="1" ht="24.95" customHeight="1">
      <c r="A4" s="110"/>
      <c r="B4" s="1027" t="str">
        <f>+'AUX Ejecución Hormigón'!C1</f>
        <v>Elaboración, transporte y colocación de hormigón</v>
      </c>
      <c r="C4" s="1028"/>
      <c r="D4" s="569">
        <v>1.05</v>
      </c>
      <c r="E4" s="569" t="s">
        <v>188</v>
      </c>
      <c r="F4" s="570">
        <f>+'AUX Ejecución Hormigón'!H53</f>
        <v>136.75049999999999</v>
      </c>
      <c r="G4" s="569" t="s">
        <v>91</v>
      </c>
      <c r="H4" s="570">
        <f>+F4*D4</f>
        <v>143.58802499999999</v>
      </c>
      <c r="I4" s="571"/>
      <c r="J4" s="572" t="s">
        <v>91</v>
      </c>
      <c r="K4" s="460"/>
      <c r="L4" s="112"/>
      <c r="M4" s="113"/>
      <c r="N4" s="113"/>
      <c r="O4" s="113"/>
      <c r="P4" s="110"/>
      <c r="Q4" s="110"/>
      <c r="R4" s="110"/>
      <c r="S4" s="110"/>
      <c r="V4" s="272"/>
    </row>
    <row r="5" spans="1:22" s="114" customFormat="1" ht="15">
      <c r="A5" s="110"/>
      <c r="B5" s="445"/>
      <c r="C5" s="290"/>
      <c r="D5" s="439"/>
      <c r="E5" s="439"/>
      <c r="F5" s="440"/>
      <c r="G5" s="439"/>
      <c r="H5" s="573">
        <f>+H4</f>
        <v>143.58802499999999</v>
      </c>
      <c r="I5" s="439"/>
      <c r="J5" s="440" t="str">
        <f>+J4</f>
        <v>$/m³</v>
      </c>
      <c r="K5" s="453"/>
      <c r="L5" s="112"/>
      <c r="N5" s="113"/>
      <c r="O5" s="113"/>
      <c r="P5" s="119"/>
      <c r="S5" s="110"/>
      <c r="T5" s="127" t="e">
        <f>SUM(#REF!)</f>
        <v>#REF!</v>
      </c>
    </row>
    <row r="6" spans="1:22" s="114" customFormat="1" ht="15">
      <c r="A6" s="110"/>
      <c r="B6" s="291" t="s">
        <v>145</v>
      </c>
      <c r="C6" s="454"/>
      <c r="D6" s="455"/>
      <c r="E6" s="455"/>
      <c r="F6" s="449"/>
      <c r="G6" s="449"/>
      <c r="H6" s="449"/>
      <c r="I6" s="449"/>
      <c r="J6" s="440"/>
      <c r="K6" s="457"/>
      <c r="L6" s="112"/>
      <c r="O6" s="113"/>
      <c r="P6" s="119"/>
      <c r="S6" s="110"/>
    </row>
    <row r="7" spans="1:22" s="114" customFormat="1" ht="15">
      <c r="A7" s="110"/>
      <c r="B7" s="291"/>
      <c r="C7" s="454" t="s">
        <v>227</v>
      </c>
      <c r="D7" s="455"/>
      <c r="E7" s="455"/>
      <c r="F7" s="456" t="s">
        <v>135</v>
      </c>
      <c r="G7" s="455"/>
      <c r="H7" s="456" t="s">
        <v>136</v>
      </c>
      <c r="I7" s="455"/>
      <c r="J7" s="440"/>
      <c r="K7" s="457"/>
      <c r="L7" s="112"/>
      <c r="O7" s="113"/>
      <c r="P7" s="119"/>
      <c r="S7" s="110"/>
    </row>
    <row r="8" spans="1:22" s="114" customFormat="1" ht="15">
      <c r="A8" s="110">
        <v>2</v>
      </c>
      <c r="B8" s="458">
        <v>2</v>
      </c>
      <c r="C8" s="188" t="str">
        <f>IF(A8=1,"Oficial Especializado",IF(A8=2,"Oficial",IF(A8=3,"Medio oficial",IF(A8=4,"Ayudante",IF(A8=5,"Maquinista",0)))))</f>
        <v>Oficial</v>
      </c>
      <c r="D8" s="459"/>
      <c r="E8" s="439"/>
      <c r="F8" s="440">
        <f>+'Mano de Obra'!G47</f>
        <v>338.59</v>
      </c>
      <c r="G8" s="441" t="s">
        <v>146</v>
      </c>
      <c r="H8" s="440">
        <f>F8*B8</f>
        <v>677.18</v>
      </c>
      <c r="I8" s="441" t="s">
        <v>143</v>
      </c>
      <c r="J8" s="440"/>
      <c r="K8" s="460"/>
      <c r="L8" s="112"/>
      <c r="O8" s="113"/>
      <c r="S8" s="110"/>
    </row>
    <row r="9" spans="1:22" s="114" customFormat="1" ht="15">
      <c r="A9" s="110">
        <v>4</v>
      </c>
      <c r="B9" s="458">
        <v>4</v>
      </c>
      <c r="C9" s="188" t="str">
        <f t="shared" ref="C9" si="0">IF(A9=1,"Oficial Especializado",IF(A9=2,"Oficial",IF(A9=3,"Medio oficial",IF(A9=4,"Ayudante",IF(A9=5,"Maquinista",0)))))</f>
        <v>Ayudante</v>
      </c>
      <c r="D9" s="459"/>
      <c r="E9" s="439"/>
      <c r="F9" s="440">
        <f>+'Mano de Obra'!I47</f>
        <v>286.54000000000002</v>
      </c>
      <c r="G9" s="441" t="s">
        <v>146</v>
      </c>
      <c r="H9" s="440">
        <f>F9*B9</f>
        <v>1146.1600000000001</v>
      </c>
      <c r="I9" s="441" t="s">
        <v>143</v>
      </c>
      <c r="J9" s="440"/>
      <c r="K9" s="460"/>
      <c r="L9" s="112"/>
      <c r="O9" s="113"/>
      <c r="P9" s="983" t="s">
        <v>147</v>
      </c>
      <c r="Q9" s="983"/>
      <c r="R9" s="983"/>
      <c r="S9" s="130" t="e">
        <f>+SUM(#REF!)*D26/D13</f>
        <v>#REF!</v>
      </c>
    </row>
    <row r="10" spans="1:22" s="114" customFormat="1" ht="15">
      <c r="A10" s="110"/>
      <c r="B10" s="445"/>
      <c r="C10" s="463"/>
      <c r="D10" s="439"/>
      <c r="E10" s="439"/>
      <c r="F10" s="440"/>
      <c r="G10" s="439"/>
      <c r="H10" s="574">
        <f>SUM(H8:H9)</f>
        <v>1823.3400000000001</v>
      </c>
      <c r="I10" s="575" t="s">
        <v>143</v>
      </c>
      <c r="J10" s="440"/>
      <c r="K10" s="453"/>
      <c r="L10" s="112"/>
      <c r="M10" s="134"/>
      <c r="N10" s="131"/>
      <c r="O10" s="113"/>
      <c r="P10" s="984" t="s">
        <v>0</v>
      </c>
      <c r="Q10" s="984"/>
      <c r="R10" s="984"/>
      <c r="S10" s="135" t="e">
        <f>+#REF!*D26/D13</f>
        <v>#REF!</v>
      </c>
    </row>
    <row r="11" spans="1:22" s="114" customFormat="1" ht="15">
      <c r="A11" s="110"/>
      <c r="B11" s="445"/>
      <c r="C11" s="463"/>
      <c r="D11" s="439"/>
      <c r="E11" s="439"/>
      <c r="F11" s="440"/>
      <c r="G11" s="439"/>
      <c r="H11" s="440"/>
      <c r="I11" s="439"/>
      <c r="J11" s="440"/>
      <c r="K11" s="453"/>
      <c r="L11" s="112"/>
      <c r="M11" s="134"/>
      <c r="N11" s="131"/>
      <c r="O11" s="113"/>
      <c r="P11" s="251"/>
      <c r="Q11" s="251"/>
      <c r="R11" s="251"/>
      <c r="S11" s="135"/>
    </row>
    <row r="12" spans="1:22" s="114" customFormat="1" ht="15">
      <c r="A12" s="110"/>
      <c r="B12" s="292" t="s">
        <v>148</v>
      </c>
      <c r="C12" s="454"/>
      <c r="D12" s="215" t="s">
        <v>230</v>
      </c>
      <c r="E12" s="455"/>
      <c r="F12" s="466"/>
      <c r="G12" s="455"/>
      <c r="H12" s="466"/>
      <c r="I12" s="455"/>
      <c r="J12" s="440">
        <f>H10</f>
        <v>1823.3400000000001</v>
      </c>
      <c r="K12" s="452" t="s">
        <v>143</v>
      </c>
      <c r="L12" s="112"/>
      <c r="M12" s="113"/>
      <c r="N12" s="113"/>
      <c r="O12" s="113"/>
      <c r="P12" s="984" t="s">
        <v>1</v>
      </c>
      <c r="Q12" s="984"/>
      <c r="R12" s="984"/>
      <c r="S12" s="135" t="e">
        <f>+H10*D26/D13</f>
        <v>#REF!</v>
      </c>
    </row>
    <row r="13" spans="1:22" s="114" customFormat="1" ht="15">
      <c r="A13" s="110"/>
      <c r="B13" s="292" t="s">
        <v>150</v>
      </c>
      <c r="C13" s="467"/>
      <c r="D13" s="439">
        <v>2</v>
      </c>
      <c r="E13" s="468" t="s">
        <v>163</v>
      </c>
      <c r="F13" s="466"/>
      <c r="G13" s="455"/>
      <c r="H13" s="466"/>
      <c r="I13" s="455"/>
      <c r="J13" s="440"/>
      <c r="K13" s="457"/>
      <c r="L13" s="112"/>
      <c r="M13" s="113"/>
      <c r="N13" s="113"/>
      <c r="O13" s="138"/>
      <c r="P13" s="984" t="s">
        <v>152</v>
      </c>
      <c r="Q13" s="984"/>
      <c r="R13" s="984"/>
      <c r="S13" s="135"/>
    </row>
    <row r="14" spans="1:22" s="114" customFormat="1" ht="15">
      <c r="A14" s="110"/>
      <c r="B14" s="292" t="s">
        <v>178</v>
      </c>
      <c r="C14" s="454"/>
      <c r="D14" s="459"/>
      <c r="E14" s="469">
        <f>J12</f>
        <v>1823.3400000000001</v>
      </c>
      <c r="F14" s="439" t="s">
        <v>154</v>
      </c>
      <c r="G14" s="439">
        <f>D13</f>
        <v>2</v>
      </c>
      <c r="H14" s="468" t="str">
        <f>E13</f>
        <v>m³/d</v>
      </c>
      <c r="I14" s="439" t="s">
        <v>155</v>
      </c>
      <c r="J14" s="440">
        <f>E14/G14</f>
        <v>911.67000000000007</v>
      </c>
      <c r="K14" s="453" t="s">
        <v>91</v>
      </c>
      <c r="L14" s="112"/>
      <c r="M14" s="113"/>
      <c r="N14" s="113"/>
      <c r="O14" s="113"/>
      <c r="S14" s="135" t="e">
        <f>+S12+S10+S9</f>
        <v>#REF!</v>
      </c>
    </row>
    <row r="15" spans="1:22" s="114" customFormat="1" ht="15">
      <c r="A15" s="110"/>
      <c r="B15" s="292"/>
      <c r="C15" s="454"/>
      <c r="D15" s="459"/>
      <c r="E15" s="469"/>
      <c r="F15" s="439"/>
      <c r="G15" s="439"/>
      <c r="H15" s="468"/>
      <c r="I15" s="439"/>
      <c r="J15" s="440"/>
      <c r="K15" s="453"/>
      <c r="L15" s="112"/>
      <c r="M15" s="113"/>
      <c r="N15" s="113"/>
      <c r="O15" s="113"/>
      <c r="S15" s="161"/>
    </row>
    <row r="16" spans="1:22" s="114" customFormat="1" ht="15">
      <c r="A16" s="110"/>
      <c r="B16" s="291" t="s">
        <v>165</v>
      </c>
      <c r="C16" s="454"/>
      <c r="D16" s="459"/>
      <c r="E16" s="469"/>
      <c r="F16" s="439"/>
      <c r="G16" s="439"/>
      <c r="H16" s="468"/>
      <c r="I16" s="439"/>
      <c r="J16" s="440"/>
      <c r="K16" s="453"/>
      <c r="L16" s="112"/>
      <c r="M16" s="113"/>
      <c r="N16" s="113"/>
      <c r="O16" s="113"/>
      <c r="S16" s="161"/>
    </row>
    <row r="17" spans="1:19" s="114" customFormat="1" ht="15">
      <c r="A17" s="110"/>
      <c r="B17" s="292"/>
      <c r="C17" s="454"/>
      <c r="D17" s="459"/>
      <c r="E17" s="469"/>
      <c r="F17" s="439"/>
      <c r="G17" s="439"/>
      <c r="H17" s="468"/>
      <c r="I17" s="439"/>
      <c r="J17" s="440"/>
      <c r="K17" s="453"/>
      <c r="L17" s="112"/>
      <c r="M17" s="113"/>
      <c r="N17" s="113"/>
      <c r="O17" s="113"/>
      <c r="S17" s="161"/>
    </row>
    <row r="18" spans="1:19" s="114" customFormat="1" ht="15">
      <c r="A18" s="110"/>
      <c r="B18" s="208" t="s">
        <v>166</v>
      </c>
      <c r="C18" s="188"/>
      <c r="D18" s="459" t="s">
        <v>167</v>
      </c>
      <c r="E18" s="469"/>
      <c r="F18" s="439"/>
      <c r="G18" s="439" t="s">
        <v>135</v>
      </c>
      <c r="H18" s="468"/>
      <c r="I18" s="439"/>
      <c r="J18" s="440" t="s">
        <v>168</v>
      </c>
      <c r="K18" s="453"/>
      <c r="L18" s="112"/>
      <c r="M18" s="113"/>
      <c r="N18" s="113"/>
      <c r="O18" s="113"/>
      <c r="S18" s="161"/>
    </row>
    <row r="19" spans="1:19" s="114" customFormat="1" ht="15">
      <c r="A19" s="110"/>
      <c r="B19" s="567" t="str">
        <f>+'AUX Dosaje Hormigón'!B2</f>
        <v>Hormigón H-21</v>
      </c>
      <c r="C19" s="482"/>
      <c r="D19" s="486">
        <v>1.05</v>
      </c>
      <c r="E19" s="478" t="s">
        <v>188</v>
      </c>
      <c r="F19" s="478"/>
      <c r="G19" s="486" t="e">
        <f>+'AUX Dosaje Hormigón'!I9</f>
        <v>#REF!</v>
      </c>
      <c r="H19" s="488" t="s">
        <v>91</v>
      </c>
      <c r="I19" s="478"/>
      <c r="J19" s="478" t="e">
        <f>+G19*D19</f>
        <v>#REF!</v>
      </c>
      <c r="K19" s="489" t="s">
        <v>91</v>
      </c>
      <c r="L19" s="112"/>
      <c r="M19" s="113"/>
      <c r="N19" s="113"/>
      <c r="O19" s="113"/>
      <c r="S19" s="161"/>
    </row>
    <row r="20" spans="1:19" s="114" customFormat="1" ht="15">
      <c r="A20" s="110"/>
      <c r="B20" s="481" t="e">
        <f>+'AUX  AC Materiales'!#REF!</f>
        <v>#REF!</v>
      </c>
      <c r="C20" s="482"/>
      <c r="D20" s="486">
        <v>0.2</v>
      </c>
      <c r="E20" s="478" t="s">
        <v>188</v>
      </c>
      <c r="F20" s="478"/>
      <c r="G20" s="486" t="e">
        <f>+'AUX  AC Materiales'!#REF!</f>
        <v>#REF!</v>
      </c>
      <c r="H20" s="488" t="s">
        <v>91</v>
      </c>
      <c r="I20" s="478"/>
      <c r="J20" s="478" t="e">
        <f t="shared" ref="J20:J21" si="1">+G20*D20</f>
        <v>#REF!</v>
      </c>
      <c r="K20" s="489" t="s">
        <v>91</v>
      </c>
      <c r="L20" s="112"/>
      <c r="M20" s="113"/>
      <c r="N20" s="113"/>
      <c r="O20" s="113"/>
      <c r="S20" s="161"/>
    </row>
    <row r="21" spans="1:19" s="114" customFormat="1" ht="15">
      <c r="A21" s="110"/>
      <c r="B21" s="568" t="e">
        <f>+'Precios Básicos Materiales'!#REF!</f>
        <v>#REF!</v>
      </c>
      <c r="C21" s="482"/>
      <c r="D21" s="486">
        <v>2</v>
      </c>
      <c r="E21" s="478" t="s">
        <v>229</v>
      </c>
      <c r="F21" s="478"/>
      <c r="G21" s="486" t="e">
        <f>+'Precios Básicos Materiales'!#REF!</f>
        <v>#REF!</v>
      </c>
      <c r="H21" s="488" t="s">
        <v>88</v>
      </c>
      <c r="I21" s="478"/>
      <c r="J21" s="478" t="e">
        <f t="shared" si="1"/>
        <v>#REF!</v>
      </c>
      <c r="K21" s="489" t="s">
        <v>91</v>
      </c>
      <c r="L21" s="112"/>
      <c r="M21" s="113"/>
      <c r="N21" s="113"/>
      <c r="O21" s="113"/>
      <c r="S21" s="161"/>
    </row>
    <row r="22" spans="1:19" s="114" customFormat="1" ht="15">
      <c r="A22" s="110"/>
      <c r="B22" s="273"/>
      <c r="C22" s="490"/>
      <c r="D22" s="486"/>
      <c r="E22" s="487"/>
      <c r="F22" s="478"/>
      <c r="G22" s="478"/>
      <c r="H22" s="488"/>
      <c r="I22" s="478"/>
      <c r="J22" s="576" t="e">
        <f>SUM(J19:J21)</f>
        <v>#REF!</v>
      </c>
      <c r="K22" s="577" t="s">
        <v>91</v>
      </c>
      <c r="L22" s="112"/>
      <c r="M22" s="113"/>
      <c r="N22" s="113"/>
      <c r="O22" s="113"/>
      <c r="S22" s="161"/>
    </row>
    <row r="23" spans="1:19" s="114" customFormat="1" ht="15">
      <c r="A23" s="110"/>
      <c r="B23" s="292"/>
      <c r="C23" s="454"/>
      <c r="D23" s="459"/>
      <c r="E23" s="469"/>
      <c r="F23" s="439"/>
      <c r="G23" s="439"/>
      <c r="H23" s="468"/>
      <c r="I23" s="439"/>
      <c r="J23" s="440"/>
      <c r="K23" s="453"/>
      <c r="L23" s="112"/>
      <c r="M23" s="113"/>
      <c r="N23" s="113"/>
      <c r="O23" s="113"/>
      <c r="S23" s="161"/>
    </row>
    <row r="24" spans="1:19" s="114" customFormat="1" ht="15">
      <c r="A24" s="110"/>
      <c r="B24" s="292" t="s">
        <v>157</v>
      </c>
      <c r="C24" s="454"/>
      <c r="D24" s="459" t="s">
        <v>231</v>
      </c>
      <c r="E24" s="469"/>
      <c r="F24" s="439"/>
      <c r="G24" s="439"/>
      <c r="H24" s="439"/>
      <c r="I24" s="439"/>
      <c r="J24" s="270" t="e">
        <f>+J14+J22+H4</f>
        <v>#REF!</v>
      </c>
      <c r="K24" s="373" t="s">
        <v>91</v>
      </c>
      <c r="P24" s="139"/>
      <c r="S24" s="110"/>
    </row>
    <row r="25" spans="1:19" s="114" customFormat="1" ht="15">
      <c r="A25" s="110"/>
      <c r="B25" s="292"/>
      <c r="C25" s="454"/>
      <c r="D25" s="459"/>
      <c r="E25" s="469"/>
      <c r="F25" s="439"/>
      <c r="G25" s="439"/>
      <c r="H25" s="439"/>
      <c r="I25" s="439"/>
      <c r="J25" s="440"/>
      <c r="K25" s="453"/>
      <c r="L25" s="112"/>
      <c r="M25" s="113"/>
      <c r="N25" s="113"/>
      <c r="O25" s="113"/>
      <c r="P25" s="139"/>
      <c r="S25" s="140"/>
    </row>
    <row r="26" spans="1:19" s="114" customFormat="1" ht="15.75" thickBot="1">
      <c r="A26" s="110"/>
      <c r="B26" s="470" t="s">
        <v>158</v>
      </c>
      <c r="C26" s="266"/>
      <c r="D26" s="471" t="e">
        <f>+#REF!</f>
        <v>#REF!</v>
      </c>
      <c r="E26" s="471" t="s">
        <v>159</v>
      </c>
      <c r="F26" s="471" t="e">
        <f>J24</f>
        <v>#REF!</v>
      </c>
      <c r="G26" s="471" t="str">
        <f>K14</f>
        <v>$/m³</v>
      </c>
      <c r="H26" s="449"/>
      <c r="I26" s="471" t="s">
        <v>155</v>
      </c>
      <c r="J26" s="271" t="e">
        <f>+D26*F26</f>
        <v>#REF!</v>
      </c>
      <c r="K26" s="374" t="str">
        <f>K14</f>
        <v>$/m³</v>
      </c>
      <c r="L26" s="141"/>
      <c r="M26" s="142"/>
      <c r="N26" s="113"/>
      <c r="O26" s="113"/>
      <c r="P26" s="143"/>
      <c r="S26" s="110"/>
    </row>
    <row r="27" spans="1:19" s="122" customFormat="1" ht="17.25" thickTop="1" thickBot="1">
      <c r="A27" s="129"/>
      <c r="B27" s="989" t="s">
        <v>160</v>
      </c>
      <c r="C27" s="989"/>
      <c r="D27" s="990" t="e">
        <f>ROUND(J26,2)</f>
        <v>#REF!</v>
      </c>
      <c r="E27" s="990"/>
      <c r="F27" s="992" t="str">
        <f>+K26</f>
        <v>$/m³</v>
      </c>
      <c r="G27" s="992"/>
      <c r="H27" s="992"/>
      <c r="I27" s="267"/>
      <c r="J27" s="268"/>
      <c r="K27" s="269"/>
      <c r="L27" s="147"/>
      <c r="M27" s="148"/>
      <c r="N27" s="128"/>
      <c r="O27" s="128"/>
      <c r="P27" s="149"/>
      <c r="S27" s="129"/>
    </row>
    <row r="28" spans="1:19" ht="15.75" thickTop="1">
      <c r="C28" s="152"/>
      <c r="D28" s="123"/>
      <c r="E28" s="123"/>
      <c r="F28" s="121"/>
      <c r="G28" s="123"/>
    </row>
    <row r="29" spans="1:19">
      <c r="C29" s="155"/>
      <c r="P29" s="156"/>
    </row>
    <row r="30" spans="1:19">
      <c r="C30" s="157"/>
      <c r="D30" s="985"/>
      <c r="E30" s="985"/>
      <c r="F30" s="158"/>
    </row>
    <row r="31" spans="1:19">
      <c r="C31" s="157"/>
      <c r="D31" s="985"/>
      <c r="E31" s="985"/>
      <c r="P31" s="156"/>
    </row>
    <row r="32" spans="1:19">
      <c r="C32" s="157"/>
      <c r="D32" s="985"/>
      <c r="E32" s="985"/>
    </row>
    <row r="33" spans="3:5">
      <c r="C33" s="157"/>
      <c r="D33" s="985"/>
      <c r="E33" s="985"/>
    </row>
  </sheetData>
  <mergeCells count="13">
    <mergeCell ref="P9:R9"/>
    <mergeCell ref="P10:R10"/>
    <mergeCell ref="P12:R12"/>
    <mergeCell ref="P13:R13"/>
    <mergeCell ref="B27:C27"/>
    <mergeCell ref="D27:E27"/>
    <mergeCell ref="F27:H27"/>
    <mergeCell ref="D30:E30"/>
    <mergeCell ref="D31:E31"/>
    <mergeCell ref="D32:E32"/>
    <mergeCell ref="D33:E33"/>
    <mergeCell ref="B1:K1"/>
    <mergeCell ref="B4:C4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V33"/>
  <sheetViews>
    <sheetView showGridLines="0" view="pageBreakPreview" zoomScaleNormal="100" zoomScaleSheetLayoutView="100" workbookViewId="0">
      <selection activeCell="U15" sqref="U15"/>
    </sheetView>
  </sheetViews>
  <sheetFormatPr baseColWidth="10" defaultColWidth="11" defaultRowHeight="13.5"/>
  <cols>
    <col min="1" max="1" width="4.7109375" style="150" customWidth="1"/>
    <col min="2" max="2" width="3.5703125" style="151" customWidth="1"/>
    <col min="3" max="3" width="26.140625" style="151" customWidth="1"/>
    <col min="4" max="4" width="7" style="150" customWidth="1"/>
    <col min="5" max="5" width="7.85546875" style="151" customWidth="1"/>
    <col min="6" max="6" width="9.140625" style="151" customWidth="1"/>
    <col min="7" max="7" width="8.140625" style="151" customWidth="1"/>
    <col min="8" max="8" width="8.28515625" style="151" customWidth="1"/>
    <col min="9" max="9" width="3.28515625" style="151" customWidth="1"/>
    <col min="10" max="10" width="9.85546875" style="153" customWidth="1"/>
    <col min="11" max="11" width="6.28515625" style="154" customWidth="1"/>
    <col min="12" max="12" width="11" style="150" hidden="1" customWidth="1"/>
    <col min="13" max="13" width="18.85546875" style="151" hidden="1" customWidth="1"/>
    <col min="14" max="18" width="11" style="151" hidden="1" customWidth="1"/>
    <col min="19" max="19" width="12.28515625" style="150" hidden="1" customWidth="1"/>
    <col min="20" max="20" width="0" style="151" hidden="1" customWidth="1"/>
    <col min="21" max="16384" width="11" style="151"/>
  </cols>
  <sheetData>
    <row r="1" spans="1:22" s="108" customFormat="1" ht="19.5" thickTop="1" thickBot="1">
      <c r="A1" s="107"/>
      <c r="B1" s="986" t="s">
        <v>286</v>
      </c>
      <c r="C1" s="987"/>
      <c r="D1" s="987"/>
      <c r="E1" s="987"/>
      <c r="F1" s="987"/>
      <c r="G1" s="987"/>
      <c r="H1" s="987"/>
      <c r="I1" s="987"/>
      <c r="J1" s="987"/>
      <c r="K1" s="988"/>
      <c r="L1" s="107"/>
      <c r="S1" s="107"/>
      <c r="V1" s="305" t="s">
        <v>2</v>
      </c>
    </row>
    <row r="2" spans="1:22" s="114" customFormat="1" ht="15.75" thickTop="1">
      <c r="A2" s="110"/>
      <c r="B2" s="265" t="s">
        <v>133</v>
      </c>
      <c r="C2" s="434"/>
      <c r="D2" s="435" t="s">
        <v>134</v>
      </c>
      <c r="E2" s="435"/>
      <c r="F2" s="434" t="s">
        <v>135</v>
      </c>
      <c r="G2" s="435"/>
      <c r="H2" s="434" t="s">
        <v>136</v>
      </c>
      <c r="I2" s="435"/>
      <c r="J2" s="434"/>
      <c r="K2" s="436"/>
      <c r="L2" s="112"/>
      <c r="M2" s="113"/>
      <c r="N2" s="113"/>
      <c r="O2" s="113"/>
      <c r="P2" s="110" t="s">
        <v>137</v>
      </c>
      <c r="Q2" s="110" t="s">
        <v>138</v>
      </c>
      <c r="R2" s="110" t="s">
        <v>139</v>
      </c>
      <c r="S2" s="110" t="s">
        <v>140</v>
      </c>
      <c r="V2" s="109" t="s">
        <v>141</v>
      </c>
    </row>
    <row r="3" spans="1:22" s="114" customFormat="1" ht="15">
      <c r="A3" s="110">
        <v>70</v>
      </c>
      <c r="B3" s="437">
        <v>2</v>
      </c>
      <c r="C3" s="188" t="str">
        <f>VLOOKUP(A3,'Costo Equipos'!$1:$1048576,2,0)</f>
        <v>Cortadora de hierro motorizada</v>
      </c>
      <c r="D3" s="438">
        <f>VLOOKUP(A3,'Costo Equipos'!$1:$1048576,23,0)</f>
        <v>0</v>
      </c>
      <c r="E3" s="439" t="s">
        <v>142</v>
      </c>
      <c r="F3" s="440">
        <f>VLOOKUP(A3,'Costo Equipos'!$1:$1048576,33,0)</f>
        <v>0</v>
      </c>
      <c r="G3" s="441" t="str">
        <f>+G8</f>
        <v>$/d  =</v>
      </c>
      <c r="H3" s="442">
        <f>+F3*B3</f>
        <v>0</v>
      </c>
      <c r="I3" s="441" t="s">
        <v>143</v>
      </c>
      <c r="J3" s="443"/>
      <c r="K3" s="444"/>
      <c r="L3" s="112">
        <v>13</v>
      </c>
      <c r="M3" s="113" t="e">
        <f>+LOOKUP(L3,#REF!,#REF!)</f>
        <v>#REF!</v>
      </c>
      <c r="N3" s="113" t="s">
        <v>144</v>
      </c>
      <c r="O3" s="113"/>
      <c r="P3" s="118" t="e">
        <f>+(LOOKUP(L3,#REF!,#REF!))*B3</f>
        <v>#REF!</v>
      </c>
      <c r="Q3" s="118" t="e">
        <f>+(LOOKUP(L3,#REF!,#REF!))*B3</f>
        <v>#REF!</v>
      </c>
      <c r="R3" s="118" t="e">
        <f>+(LOOKUP(L3,#REF!,#REF!))*B3</f>
        <v>#REF!</v>
      </c>
      <c r="S3" s="118" t="e">
        <f>+(LOOKUP(L3,#REF!,#REF!))*B3</f>
        <v>#REF!</v>
      </c>
      <c r="T3" s="119" t="e">
        <f>+#REF!+#REF!+#REF!+#REF!</f>
        <v>#REF!</v>
      </c>
    </row>
    <row r="4" spans="1:22" s="114" customFormat="1" ht="15">
      <c r="A4" s="110">
        <v>71</v>
      </c>
      <c r="B4" s="437">
        <v>1</v>
      </c>
      <c r="C4" s="188" t="str">
        <f>VLOOKUP(A4,'Costo Equipos'!$1:$1048576,2,0)</f>
        <v>Dobladora de barras de acero</v>
      </c>
      <c r="D4" s="438">
        <f>VLOOKUP(A4,'Costo Equipos'!$1:$1048576,23,0)</f>
        <v>0</v>
      </c>
      <c r="E4" s="439" t="s">
        <v>142</v>
      </c>
      <c r="F4" s="440">
        <f>VLOOKUP(A4,'Costo Equipos'!$1:$1048576,33,0)</f>
        <v>0</v>
      </c>
      <c r="G4" s="441" t="str">
        <f>+G3</f>
        <v>$/d  =</v>
      </c>
      <c r="H4" s="442">
        <f>+F4*B4</f>
        <v>0</v>
      </c>
      <c r="I4" s="441" t="s">
        <v>143</v>
      </c>
      <c r="J4" s="443"/>
      <c r="K4" s="444"/>
      <c r="L4" s="112">
        <v>7</v>
      </c>
      <c r="M4" s="113" t="e">
        <f>+LOOKUP(L4,#REF!,#REF!)</f>
        <v>#REF!</v>
      </c>
      <c r="N4" s="113"/>
      <c r="O4" s="113"/>
      <c r="P4" s="118" t="e">
        <f>+(LOOKUP(L4,#REF!,#REF!))*B4</f>
        <v>#REF!</v>
      </c>
      <c r="Q4" s="118" t="e">
        <f>+(LOOKUP(L4,#REF!,#REF!))*B4</f>
        <v>#REF!</v>
      </c>
      <c r="R4" s="118" t="e">
        <f>+(LOOKUP(L4,#REF!,#REF!))*B4</f>
        <v>#REF!</v>
      </c>
      <c r="S4" s="118" t="e">
        <f>+(LOOKUP(L4,#REF!,#REF!))*B4</f>
        <v>#REF!</v>
      </c>
      <c r="T4" s="119" t="e">
        <f>+S3+R3+Q3+P3</f>
        <v>#REF!</v>
      </c>
    </row>
    <row r="5" spans="1:22" s="114" customFormat="1" ht="15">
      <c r="A5" s="110"/>
      <c r="B5" s="445"/>
      <c r="C5" s="446"/>
      <c r="D5" s="447">
        <f>SUMPRODUCT(B3:B4,D3:D4)</f>
        <v>0</v>
      </c>
      <c r="E5" s="448" t="s">
        <v>142</v>
      </c>
      <c r="F5" s="449"/>
      <c r="G5" s="443"/>
      <c r="H5" s="450">
        <f>+SUM(H3:H4)</f>
        <v>0</v>
      </c>
      <c r="I5" s="451" t="s">
        <v>143</v>
      </c>
      <c r="J5" s="440"/>
      <c r="K5" s="452"/>
      <c r="L5" s="112"/>
      <c r="M5" s="113"/>
      <c r="N5" s="113"/>
      <c r="O5" s="113"/>
      <c r="P5" s="124" t="e">
        <f>SUM(P3:P4)</f>
        <v>#REF!</v>
      </c>
      <c r="Q5" s="125" t="e">
        <f>SUM(Q3:Q4)</f>
        <v>#REF!</v>
      </c>
      <c r="R5" s="125" t="e">
        <f>SUM(R3:R4)</f>
        <v>#REF!</v>
      </c>
      <c r="S5" s="126" t="e">
        <f>SUM(S3:S4)</f>
        <v>#REF!</v>
      </c>
      <c r="T5" s="119" t="e">
        <f>+#REF!+#REF!+#REF!+#REF!</f>
        <v>#REF!</v>
      </c>
    </row>
    <row r="6" spans="1:22" s="114" customFormat="1" ht="15">
      <c r="A6" s="110"/>
      <c r="B6" s="445"/>
      <c r="C6" s="290"/>
      <c r="D6" s="439"/>
      <c r="E6" s="439"/>
      <c r="F6" s="440"/>
      <c r="G6" s="439"/>
      <c r="H6" s="440"/>
      <c r="I6" s="439"/>
      <c r="J6" s="440"/>
      <c r="K6" s="453"/>
      <c r="L6" s="112"/>
      <c r="N6" s="113"/>
      <c r="O6" s="113"/>
      <c r="P6" s="119"/>
      <c r="S6" s="110"/>
      <c r="T6" s="127" t="e">
        <f>SUM(T3:T5)</f>
        <v>#REF!</v>
      </c>
    </row>
    <row r="7" spans="1:22" s="114" customFormat="1" ht="15">
      <c r="A7" s="110"/>
      <c r="B7" s="291" t="s">
        <v>145</v>
      </c>
      <c r="C7" s="454"/>
      <c r="D7" s="455"/>
      <c r="E7" s="455"/>
      <c r="F7" s="456" t="s">
        <v>135</v>
      </c>
      <c r="G7" s="455"/>
      <c r="H7" s="456" t="s">
        <v>136</v>
      </c>
      <c r="I7" s="455"/>
      <c r="J7" s="440"/>
      <c r="K7" s="457"/>
      <c r="L7" s="112"/>
      <c r="O7" s="113"/>
      <c r="P7" s="119"/>
      <c r="S7" s="110"/>
    </row>
    <row r="8" spans="1:22" s="114" customFormat="1" ht="15">
      <c r="A8" s="110">
        <v>1</v>
      </c>
      <c r="B8" s="458">
        <v>1</v>
      </c>
      <c r="C8" s="188" t="str">
        <f>IF(A8=1,"Oficial Especializado",IF(A8=2,"Oficial",IF(A8=3,"Medio oficial",IF(A8=4,"Ayudante",IF(A8=5,"Maquinista",0)))))</f>
        <v>Oficial Especializado</v>
      </c>
      <c r="D8" s="459"/>
      <c r="E8" s="439"/>
      <c r="F8" s="440">
        <f>+'Mano de Obra'!F47</f>
        <v>397.36</v>
      </c>
      <c r="G8" s="441" t="s">
        <v>146</v>
      </c>
      <c r="H8" s="440">
        <f>F8*B8</f>
        <v>397.36</v>
      </c>
      <c r="I8" s="441" t="s">
        <v>143</v>
      </c>
      <c r="J8" s="440"/>
      <c r="K8" s="460"/>
      <c r="L8" s="112"/>
      <c r="O8" s="113"/>
      <c r="S8" s="110"/>
    </row>
    <row r="9" spans="1:22" s="114" customFormat="1" ht="15">
      <c r="A9" s="110">
        <v>2</v>
      </c>
      <c r="B9" s="458">
        <v>2</v>
      </c>
      <c r="C9" s="188" t="str">
        <f>IF(A9=1,"Oficial Especializado",IF(A9=2,"Oficial",IF(A9=3,"Medio oficial",IF(A9=4,"Ayudante",IF(A9=5,"Maquinista",0)))))</f>
        <v>Oficial</v>
      </c>
      <c r="D9" s="459"/>
      <c r="E9" s="439"/>
      <c r="F9" s="440">
        <f>+'Mano de Obra'!G47</f>
        <v>338.59</v>
      </c>
      <c r="G9" s="441" t="s">
        <v>146</v>
      </c>
      <c r="H9" s="440">
        <f>F9*B9</f>
        <v>677.18</v>
      </c>
      <c r="I9" s="441" t="s">
        <v>143</v>
      </c>
      <c r="J9" s="440"/>
      <c r="K9" s="460"/>
      <c r="L9" s="112"/>
      <c r="O9" s="113"/>
      <c r="S9" s="110"/>
    </row>
    <row r="10" spans="1:22" s="114" customFormat="1" ht="15" customHeight="1">
      <c r="A10" s="110">
        <v>4</v>
      </c>
      <c r="B10" s="458">
        <v>6</v>
      </c>
      <c r="C10" s="188" t="str">
        <f t="shared" ref="C10" si="0">IF(A10=1,"Oficial Especializado",IF(A10=2,"Oficial",IF(A10=3,"Medio oficial",IF(A10=4,"Ayudante",IF(A10=5,"Maquinista",0)))))</f>
        <v>Ayudante</v>
      </c>
      <c r="D10" s="459"/>
      <c r="E10" s="439"/>
      <c r="F10" s="440">
        <f>+'Mano de Obra'!I47</f>
        <v>286.54000000000002</v>
      </c>
      <c r="G10" s="441" t="s">
        <v>146</v>
      </c>
      <c r="H10" s="440">
        <f>F10*B10</f>
        <v>1719.2400000000002</v>
      </c>
      <c r="I10" s="441" t="s">
        <v>143</v>
      </c>
      <c r="J10" s="440"/>
      <c r="K10" s="460"/>
      <c r="L10" s="112"/>
      <c r="O10" s="113"/>
      <c r="P10" s="1029" t="s">
        <v>147</v>
      </c>
      <c r="Q10" s="1030"/>
      <c r="R10" s="1031"/>
      <c r="S10" s="130" t="e">
        <f>+SUM(P5:R5)*D26/D14</f>
        <v>#REF!</v>
      </c>
    </row>
    <row r="11" spans="1:22" s="114" customFormat="1" ht="15">
      <c r="A11" s="110"/>
      <c r="B11" s="445"/>
      <c r="C11" s="463"/>
      <c r="D11" s="439"/>
      <c r="E11" s="439"/>
      <c r="F11" s="440"/>
      <c r="G11" s="439"/>
      <c r="H11" s="464">
        <f>SUM(H8:H10)</f>
        <v>2793.78</v>
      </c>
      <c r="I11" s="465" t="s">
        <v>143</v>
      </c>
      <c r="J11" s="440"/>
      <c r="K11" s="453"/>
      <c r="L11" s="112"/>
      <c r="M11" s="134"/>
      <c r="N11" s="131"/>
      <c r="O11" s="113"/>
      <c r="P11" s="984" t="s">
        <v>0</v>
      </c>
      <c r="Q11" s="984"/>
      <c r="R11" s="984"/>
      <c r="S11" s="135" t="e">
        <f>+S5*D26/D14</f>
        <v>#REF!</v>
      </c>
    </row>
    <row r="12" spans="1:22" s="114" customFormat="1" ht="15">
      <c r="A12" s="110"/>
      <c r="B12" s="445"/>
      <c r="C12" s="463"/>
      <c r="D12" s="439"/>
      <c r="E12" s="439"/>
      <c r="F12" s="440"/>
      <c r="G12" s="439"/>
      <c r="H12" s="440"/>
      <c r="I12" s="439"/>
      <c r="J12" s="440"/>
      <c r="K12" s="453"/>
      <c r="L12" s="112"/>
      <c r="M12" s="134"/>
      <c r="N12" s="131"/>
      <c r="O12" s="113"/>
      <c r="P12" s="251"/>
      <c r="Q12" s="251"/>
      <c r="R12" s="251"/>
      <c r="S12" s="135"/>
    </row>
    <row r="13" spans="1:22" s="114" customFormat="1" ht="15">
      <c r="A13" s="110"/>
      <c r="B13" s="292" t="s">
        <v>148</v>
      </c>
      <c r="C13" s="454"/>
      <c r="D13" s="215" t="s">
        <v>149</v>
      </c>
      <c r="E13" s="455"/>
      <c r="F13" s="466"/>
      <c r="G13" s="455"/>
      <c r="H13" s="466"/>
      <c r="I13" s="455"/>
      <c r="J13" s="440">
        <f>H11+H5</f>
        <v>2793.78</v>
      </c>
      <c r="K13" s="452" t="s">
        <v>143</v>
      </c>
      <c r="L13" s="112"/>
      <c r="M13" s="113"/>
      <c r="N13" s="113"/>
      <c r="O13" s="113"/>
      <c r="P13" s="984" t="s">
        <v>1</v>
      </c>
      <c r="Q13" s="984"/>
      <c r="R13" s="984"/>
      <c r="S13" s="135" t="e">
        <f>+H11*D26/D14</f>
        <v>#REF!</v>
      </c>
    </row>
    <row r="14" spans="1:22" s="114" customFormat="1" ht="15">
      <c r="A14" s="110"/>
      <c r="B14" s="292" t="s">
        <v>150</v>
      </c>
      <c r="C14" s="467"/>
      <c r="D14" s="439">
        <v>1.2</v>
      </c>
      <c r="E14" s="468" t="s">
        <v>223</v>
      </c>
      <c r="F14" s="466"/>
      <c r="G14" s="455"/>
      <c r="H14" s="466"/>
      <c r="I14" s="455"/>
      <c r="J14" s="440"/>
      <c r="K14" s="457"/>
      <c r="L14" s="112"/>
      <c r="M14" s="113"/>
      <c r="N14" s="113"/>
      <c r="O14" s="138"/>
      <c r="P14" s="984" t="s">
        <v>152</v>
      </c>
      <c r="Q14" s="984"/>
      <c r="R14" s="984"/>
      <c r="S14" s="135"/>
    </row>
    <row r="15" spans="1:22" s="114" customFormat="1" ht="15">
      <c r="A15" s="110"/>
      <c r="B15" s="292" t="s">
        <v>178</v>
      </c>
      <c r="C15" s="454"/>
      <c r="D15" s="459"/>
      <c r="E15" s="469">
        <f>J13</f>
        <v>2793.78</v>
      </c>
      <c r="F15" s="439" t="s">
        <v>154</v>
      </c>
      <c r="G15" s="439">
        <f>D14</f>
        <v>1.2</v>
      </c>
      <c r="H15" s="468" t="str">
        <f>E14</f>
        <v>t/d</v>
      </c>
      <c r="I15" s="439" t="s">
        <v>155</v>
      </c>
      <c r="J15" s="440">
        <f>E15/G15</f>
        <v>2328.15</v>
      </c>
      <c r="K15" s="453" t="s">
        <v>171</v>
      </c>
      <c r="L15" s="112"/>
      <c r="M15" s="113"/>
      <c r="N15" s="113"/>
      <c r="O15" s="113"/>
      <c r="S15" s="135" t="e">
        <f>+S13+S11+S10</f>
        <v>#REF!</v>
      </c>
    </row>
    <row r="16" spans="1:22" s="114" customFormat="1" ht="15">
      <c r="A16" s="110"/>
      <c r="B16" s="292"/>
      <c r="C16" s="454"/>
      <c r="D16" s="459"/>
      <c r="E16" s="469"/>
      <c r="F16" s="439"/>
      <c r="G16" s="439"/>
      <c r="H16" s="468"/>
      <c r="I16" s="439"/>
      <c r="J16" s="440"/>
      <c r="K16" s="453"/>
      <c r="L16" s="112"/>
      <c r="M16" s="113"/>
      <c r="N16" s="113"/>
      <c r="O16" s="113"/>
      <c r="S16" s="161"/>
    </row>
    <row r="17" spans="1:19" s="114" customFormat="1" ht="15">
      <c r="A17" s="110"/>
      <c r="B17" s="291" t="s">
        <v>165</v>
      </c>
      <c r="C17" s="454"/>
      <c r="D17" s="459"/>
      <c r="E17" s="469"/>
      <c r="F17" s="439"/>
      <c r="G17" s="439"/>
      <c r="H17" s="468"/>
      <c r="I17" s="439"/>
      <c r="J17" s="440"/>
      <c r="K17" s="453"/>
      <c r="L17" s="112"/>
      <c r="M17" s="113"/>
      <c r="N17" s="113"/>
      <c r="O17" s="113"/>
      <c r="S17" s="161"/>
    </row>
    <row r="18" spans="1:19" s="114" customFormat="1" ht="15">
      <c r="A18" s="110"/>
      <c r="B18" s="292"/>
      <c r="C18" s="454"/>
      <c r="D18" s="459"/>
      <c r="E18" s="469"/>
      <c r="F18" s="439"/>
      <c r="G18" s="439"/>
      <c r="H18" s="468"/>
      <c r="I18" s="439"/>
      <c r="J18" s="440"/>
      <c r="K18" s="453"/>
      <c r="L18" s="112"/>
      <c r="M18" s="113"/>
      <c r="N18" s="113"/>
      <c r="O18" s="113"/>
      <c r="S18" s="161"/>
    </row>
    <row r="19" spans="1:19" s="114" customFormat="1" ht="15">
      <c r="A19" s="110"/>
      <c r="B19" s="208" t="s">
        <v>166</v>
      </c>
      <c r="C19" s="188"/>
      <c r="D19" s="459" t="s">
        <v>167</v>
      </c>
      <c r="E19" s="469"/>
      <c r="F19" s="439"/>
      <c r="G19" s="439" t="s">
        <v>135</v>
      </c>
      <c r="H19" s="468"/>
      <c r="I19" s="439"/>
      <c r="J19" s="440" t="s">
        <v>168</v>
      </c>
      <c r="K19" s="453"/>
      <c r="L19" s="112"/>
      <c r="M19" s="113"/>
      <c r="N19" s="113"/>
      <c r="O19" s="113"/>
      <c r="S19" s="161"/>
    </row>
    <row r="20" spans="1:19" s="114" customFormat="1" ht="15">
      <c r="A20" s="110"/>
      <c r="B20" s="481" t="e">
        <f>+'AUX  AC Materiales'!#REF!</f>
        <v>#REF!</v>
      </c>
      <c r="C20" s="482"/>
      <c r="D20" s="486">
        <v>1.05</v>
      </c>
      <c r="E20" s="478" t="s">
        <v>225</v>
      </c>
      <c r="F20" s="478"/>
      <c r="G20" s="486" t="e">
        <f>+'AUX  AC Materiales'!#REF!</f>
        <v>#REF!</v>
      </c>
      <c r="H20" s="488" t="s">
        <v>171</v>
      </c>
      <c r="I20" s="478"/>
      <c r="J20" s="478" t="e">
        <f>+G20*D20</f>
        <v>#REF!</v>
      </c>
      <c r="K20" s="489" t="s">
        <v>171</v>
      </c>
      <c r="L20" s="112"/>
      <c r="M20" s="113"/>
      <c r="N20" s="113"/>
      <c r="O20" s="113"/>
      <c r="S20" s="161"/>
    </row>
    <row r="21" spans="1:19" s="114" customFormat="1" ht="15">
      <c r="A21" s="110"/>
      <c r="B21" s="493" t="e">
        <f>+'Precios Básicos Materiales'!#REF!</f>
        <v>#REF!</v>
      </c>
      <c r="C21" s="482"/>
      <c r="D21" s="486">
        <v>18</v>
      </c>
      <c r="E21" s="478" t="s">
        <v>224</v>
      </c>
      <c r="F21" s="478"/>
      <c r="G21" s="486" t="e">
        <f>+'Precios Básicos Materiales'!#REF!</f>
        <v>#REF!</v>
      </c>
      <c r="H21" s="488" t="s">
        <v>88</v>
      </c>
      <c r="I21" s="478"/>
      <c r="J21" s="478" t="e">
        <f t="shared" ref="J21" si="1">+G21*D21</f>
        <v>#REF!</v>
      </c>
      <c r="K21" s="489" t="s">
        <v>171</v>
      </c>
      <c r="L21" s="112"/>
      <c r="M21" s="113"/>
      <c r="N21" s="113"/>
      <c r="O21" s="113"/>
      <c r="S21" s="161"/>
    </row>
    <row r="22" spans="1:19" s="114" customFormat="1" ht="15">
      <c r="A22" s="110"/>
      <c r="B22" s="273"/>
      <c r="C22" s="490"/>
      <c r="D22" s="486"/>
      <c r="E22" s="487"/>
      <c r="F22" s="478"/>
      <c r="G22" s="478"/>
      <c r="H22" s="488"/>
      <c r="I22" s="478"/>
      <c r="J22" s="491" t="e">
        <f>SUM(J20:J21)</f>
        <v>#REF!</v>
      </c>
      <c r="K22" s="492" t="s">
        <v>171</v>
      </c>
      <c r="L22" s="112"/>
      <c r="M22" s="113"/>
      <c r="N22" s="113"/>
      <c r="O22" s="113"/>
      <c r="S22" s="161"/>
    </row>
    <row r="23" spans="1:19" s="114" customFormat="1" ht="15">
      <c r="A23" s="110"/>
      <c r="B23" s="292"/>
      <c r="C23" s="454"/>
      <c r="D23" s="459"/>
      <c r="E23" s="469"/>
      <c r="F23" s="439"/>
      <c r="G23" s="439"/>
      <c r="H23" s="468"/>
      <c r="I23" s="439"/>
      <c r="J23" s="440"/>
      <c r="K23" s="453"/>
      <c r="L23" s="112"/>
      <c r="M23" s="113"/>
      <c r="N23" s="113"/>
      <c r="O23" s="113"/>
      <c r="S23" s="161"/>
    </row>
    <row r="24" spans="1:19" s="114" customFormat="1" ht="15">
      <c r="A24" s="110"/>
      <c r="B24" s="292" t="s">
        <v>157</v>
      </c>
      <c r="C24" s="454"/>
      <c r="D24" s="459" t="s">
        <v>231</v>
      </c>
      <c r="E24" s="469"/>
      <c r="F24" s="439"/>
      <c r="G24" s="439"/>
      <c r="H24" s="439"/>
      <c r="I24" s="439"/>
      <c r="J24" s="270" t="e">
        <f>+J22+J15</f>
        <v>#REF!</v>
      </c>
      <c r="K24" s="373" t="s">
        <v>171</v>
      </c>
      <c r="P24" s="139"/>
      <c r="S24" s="110"/>
    </row>
    <row r="25" spans="1:19" s="114" customFormat="1" ht="15">
      <c r="A25" s="110"/>
      <c r="B25" s="292"/>
      <c r="C25" s="454"/>
      <c r="D25" s="459"/>
      <c r="E25" s="469"/>
      <c r="F25" s="439"/>
      <c r="G25" s="439"/>
      <c r="H25" s="439"/>
      <c r="I25" s="439"/>
      <c r="J25" s="440"/>
      <c r="K25" s="453"/>
      <c r="L25" s="112"/>
      <c r="M25" s="113"/>
      <c r="N25" s="113"/>
      <c r="O25" s="113"/>
      <c r="P25" s="139"/>
      <c r="S25" s="140"/>
    </row>
    <row r="26" spans="1:19" s="114" customFormat="1" ht="15.75" thickBot="1">
      <c r="A26" s="110"/>
      <c r="B26" s="470" t="s">
        <v>158</v>
      </c>
      <c r="C26" s="266"/>
      <c r="D26" s="471" t="e">
        <f>+#REF!</f>
        <v>#REF!</v>
      </c>
      <c r="E26" s="471" t="s">
        <v>159</v>
      </c>
      <c r="F26" s="471" t="e">
        <f>J24</f>
        <v>#REF!</v>
      </c>
      <c r="G26" s="471" t="str">
        <f>K15</f>
        <v>$/t</v>
      </c>
      <c r="H26" s="449"/>
      <c r="I26" s="471" t="s">
        <v>155</v>
      </c>
      <c r="J26" s="271" t="e">
        <f>+D26*F26</f>
        <v>#REF!</v>
      </c>
      <c r="K26" s="374" t="str">
        <f>K15</f>
        <v>$/t</v>
      </c>
      <c r="L26" s="141"/>
      <c r="M26" s="142"/>
      <c r="N26" s="113"/>
      <c r="O26" s="113"/>
      <c r="P26" s="143"/>
      <c r="S26" s="110"/>
    </row>
    <row r="27" spans="1:19" s="122" customFormat="1" ht="17.25" thickTop="1" thickBot="1">
      <c r="A27" s="129"/>
      <c r="B27" s="989" t="s">
        <v>160</v>
      </c>
      <c r="C27" s="989"/>
      <c r="D27" s="990" t="e">
        <f>ROUND(J26,2)</f>
        <v>#REF!</v>
      </c>
      <c r="E27" s="990"/>
      <c r="F27" s="992" t="str">
        <f>+K26</f>
        <v>$/t</v>
      </c>
      <c r="G27" s="992"/>
      <c r="H27" s="992"/>
      <c r="I27" s="144"/>
      <c r="J27" s="145"/>
      <c r="K27" s="146"/>
      <c r="L27" s="147"/>
      <c r="M27" s="148"/>
      <c r="N27" s="128"/>
      <c r="O27" s="128"/>
      <c r="P27" s="149"/>
      <c r="S27" s="129"/>
    </row>
    <row r="28" spans="1:19" ht="15.75" thickTop="1">
      <c r="C28" s="152"/>
      <c r="D28" s="123"/>
      <c r="E28" s="123"/>
      <c r="F28" s="121"/>
      <c r="G28" s="123"/>
    </row>
    <row r="29" spans="1:19">
      <c r="C29" s="155"/>
      <c r="P29" s="156"/>
    </row>
    <row r="30" spans="1:19">
      <c r="C30" s="157"/>
      <c r="D30" s="985"/>
      <c r="E30" s="985"/>
      <c r="F30" s="158"/>
    </row>
    <row r="31" spans="1:19">
      <c r="C31" s="157"/>
      <c r="D31" s="985"/>
      <c r="E31" s="985"/>
      <c r="P31" s="156"/>
    </row>
    <row r="32" spans="1:19">
      <c r="C32" s="157"/>
      <c r="D32" s="985"/>
      <c r="E32" s="985"/>
    </row>
    <row r="33" spans="3:5">
      <c r="C33" s="157"/>
      <c r="D33" s="985"/>
      <c r="E33" s="985"/>
    </row>
  </sheetData>
  <mergeCells count="12">
    <mergeCell ref="P10:R10"/>
    <mergeCell ref="P11:R11"/>
    <mergeCell ref="P13:R13"/>
    <mergeCell ref="P14:R14"/>
    <mergeCell ref="B27:C27"/>
    <mergeCell ref="D27:E27"/>
    <mergeCell ref="F27:H27"/>
    <mergeCell ref="D30:E30"/>
    <mergeCell ref="D31:E31"/>
    <mergeCell ref="D32:E32"/>
    <mergeCell ref="D33:E33"/>
    <mergeCell ref="B1:K1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V35"/>
  <sheetViews>
    <sheetView showGridLines="0" view="pageBreakPreview" topLeftCell="A4" zoomScaleNormal="100" zoomScaleSheetLayoutView="100" workbookViewId="0">
      <selection activeCell="V28" sqref="V28"/>
    </sheetView>
  </sheetViews>
  <sheetFormatPr baseColWidth="10" defaultColWidth="11" defaultRowHeight="13.5"/>
  <cols>
    <col min="1" max="1" width="4.7109375" style="150" customWidth="1"/>
    <col min="2" max="2" width="3.5703125" style="151" customWidth="1"/>
    <col min="3" max="3" width="25.85546875" style="151" customWidth="1"/>
    <col min="4" max="4" width="7" style="150" customWidth="1"/>
    <col min="5" max="5" width="7.85546875" style="151" customWidth="1"/>
    <col min="6" max="6" width="8.5703125" style="151" customWidth="1"/>
    <col min="7" max="7" width="6.42578125" style="151" customWidth="1"/>
    <col min="8" max="8" width="8.28515625" style="151" customWidth="1"/>
    <col min="9" max="9" width="3.28515625" style="151" customWidth="1"/>
    <col min="10" max="10" width="8.85546875" style="153" customWidth="1"/>
    <col min="11" max="11" width="6.28515625" style="154" customWidth="1"/>
    <col min="12" max="12" width="11" style="150" hidden="1" customWidth="1"/>
    <col min="13" max="13" width="18.85546875" style="151" hidden="1" customWidth="1"/>
    <col min="14" max="18" width="11" style="151" hidden="1" customWidth="1"/>
    <col min="19" max="19" width="12.28515625" style="150" hidden="1" customWidth="1"/>
    <col min="20" max="20" width="0" style="151" hidden="1" customWidth="1"/>
    <col min="21" max="16384" width="11" style="151"/>
  </cols>
  <sheetData>
    <row r="1" spans="1:22" s="108" customFormat="1" ht="19.5" thickTop="1" thickBot="1">
      <c r="A1" s="107"/>
      <c r="B1" s="986" t="s">
        <v>262</v>
      </c>
      <c r="C1" s="987"/>
      <c r="D1" s="987"/>
      <c r="E1" s="987"/>
      <c r="F1" s="987"/>
      <c r="G1" s="987"/>
      <c r="H1" s="987"/>
      <c r="I1" s="987"/>
      <c r="J1" s="987"/>
      <c r="K1" s="988"/>
      <c r="L1" s="107"/>
      <c r="S1" s="107"/>
      <c r="V1" s="305" t="s">
        <v>2</v>
      </c>
    </row>
    <row r="2" spans="1:22" s="114" customFormat="1" ht="15.75" thickTop="1">
      <c r="A2" s="110"/>
      <c r="B2" s="265" t="s">
        <v>133</v>
      </c>
      <c r="C2" s="434"/>
      <c r="D2" s="435" t="s">
        <v>134</v>
      </c>
      <c r="E2" s="435"/>
      <c r="F2" s="434" t="s">
        <v>135</v>
      </c>
      <c r="G2" s="435"/>
      <c r="H2" s="434" t="s">
        <v>136</v>
      </c>
      <c r="I2" s="435"/>
      <c r="J2" s="434"/>
      <c r="K2" s="436"/>
      <c r="L2" s="112"/>
      <c r="M2" s="113"/>
      <c r="N2" s="113"/>
      <c r="O2" s="113"/>
      <c r="P2" s="110" t="s">
        <v>137</v>
      </c>
      <c r="Q2" s="110" t="s">
        <v>138</v>
      </c>
      <c r="R2" s="110" t="s">
        <v>139</v>
      </c>
      <c r="S2" s="110" t="s">
        <v>140</v>
      </c>
      <c r="V2" s="109" t="s">
        <v>141</v>
      </c>
    </row>
    <row r="3" spans="1:22" s="114" customFormat="1" ht="15">
      <c r="A3" s="110">
        <v>44</v>
      </c>
      <c r="B3" s="437">
        <v>2</v>
      </c>
      <c r="C3" s="188" t="str">
        <f>VLOOKUP(A3,'Costo Equipos'!$1:$1048576,2,0)</f>
        <v>Herramientas menores</v>
      </c>
      <c r="D3" s="438">
        <f>VLOOKUP(A3,'Costo Equipos'!$1:$1048576,23,0)</f>
        <v>0</v>
      </c>
      <c r="E3" s="439" t="s">
        <v>142</v>
      </c>
      <c r="F3" s="440">
        <f>VLOOKUP(A3,'Costo Equipos'!$1:$1048576,48,0)</f>
        <v>0</v>
      </c>
      <c r="G3" s="441" t="str">
        <f>+G9</f>
        <v>$/d  =</v>
      </c>
      <c r="H3" s="442">
        <f>+F3*B3</f>
        <v>0</v>
      </c>
      <c r="I3" s="441" t="s">
        <v>143</v>
      </c>
      <c r="J3" s="443"/>
      <c r="K3" s="444"/>
      <c r="L3" s="112">
        <v>13</v>
      </c>
      <c r="M3" s="113" t="e">
        <f>+LOOKUP(L3,#REF!,#REF!)</f>
        <v>#REF!</v>
      </c>
      <c r="N3" s="113" t="s">
        <v>144</v>
      </c>
      <c r="O3" s="113"/>
      <c r="P3" s="118" t="e">
        <f>+(LOOKUP(L3,#REF!,#REF!))*B3</f>
        <v>#REF!</v>
      </c>
      <c r="Q3" s="118" t="e">
        <f>+(LOOKUP(L3,#REF!,#REF!))*B3</f>
        <v>#REF!</v>
      </c>
      <c r="R3" s="118" t="e">
        <f>+(LOOKUP(L3,#REF!,#REF!))*B3</f>
        <v>#REF!</v>
      </c>
      <c r="S3" s="118" t="e">
        <f>+(LOOKUP(L3,#REF!,#REF!))*B3</f>
        <v>#REF!</v>
      </c>
      <c r="T3" s="119" t="e">
        <f>+#REF!+#REF!+#REF!+#REF!</f>
        <v>#REF!</v>
      </c>
    </row>
    <row r="4" spans="1:22" s="114" customFormat="1" ht="15">
      <c r="A4" s="110">
        <v>40</v>
      </c>
      <c r="B4" s="437">
        <v>1</v>
      </c>
      <c r="C4" s="188" t="str">
        <f>VLOOKUP(A4,'Costo Equipos'!$1:$1048576,2,0)</f>
        <v>Camión Grúa</v>
      </c>
      <c r="D4" s="438">
        <f>VLOOKUP(A4,'Costo Equipos'!$1:$1048576,23,0)</f>
        <v>0</v>
      </c>
      <c r="E4" s="439" t="s">
        <v>142</v>
      </c>
      <c r="F4" s="440">
        <f>VLOOKUP(A4,'Costo Equipos'!$1:$1048576,48,0)</f>
        <v>0</v>
      </c>
      <c r="G4" s="441" t="str">
        <f>+G10</f>
        <v>$/d  =</v>
      </c>
      <c r="H4" s="442">
        <f>+F4*B4</f>
        <v>0</v>
      </c>
      <c r="I4" s="441" t="s">
        <v>143</v>
      </c>
      <c r="J4" s="443"/>
      <c r="K4" s="444"/>
      <c r="L4" s="112"/>
      <c r="M4" s="113"/>
      <c r="N4" s="113"/>
      <c r="O4" s="113"/>
      <c r="P4" s="327"/>
      <c r="Q4" s="327"/>
      <c r="R4" s="327"/>
      <c r="S4" s="327"/>
      <c r="T4" s="119"/>
    </row>
    <row r="5" spans="1:22" s="114" customFormat="1" ht="15">
      <c r="A5" s="110">
        <v>41</v>
      </c>
      <c r="B5" s="437">
        <v>1</v>
      </c>
      <c r="C5" s="188" t="str">
        <f>VLOOKUP(A5,'Costo Equipos'!$1:$1048576,2,0)</f>
        <v>Camion Volcador 15 t</v>
      </c>
      <c r="D5" s="438">
        <f>VLOOKUP(A5,'Costo Equipos'!$1:$1048576,23,0)</f>
        <v>0</v>
      </c>
      <c r="E5" s="439" t="s">
        <v>142</v>
      </c>
      <c r="F5" s="440">
        <f>VLOOKUP(A5,'Costo Equipos'!$1:$1048576,48,0)</f>
        <v>0</v>
      </c>
      <c r="G5" s="441" t="str">
        <f>+G3</f>
        <v>$/d  =</v>
      </c>
      <c r="H5" s="442">
        <f>+F5*B5</f>
        <v>0</v>
      </c>
      <c r="I5" s="441" t="s">
        <v>143</v>
      </c>
      <c r="J5" s="443"/>
      <c r="K5" s="444"/>
      <c r="L5" s="112">
        <v>7</v>
      </c>
      <c r="M5" s="113" t="e">
        <f>+LOOKUP(L5,#REF!,#REF!)</f>
        <v>#REF!</v>
      </c>
      <c r="N5" s="113"/>
      <c r="O5" s="113"/>
      <c r="P5" s="118" t="e">
        <f>+(LOOKUP(L5,#REF!,#REF!))*B5</f>
        <v>#REF!</v>
      </c>
      <c r="Q5" s="118" t="e">
        <f>+(LOOKUP(L5,#REF!,#REF!))*B5</f>
        <v>#REF!</v>
      </c>
      <c r="R5" s="118" t="e">
        <f>+(LOOKUP(L5,#REF!,#REF!))*B5</f>
        <v>#REF!</v>
      </c>
      <c r="S5" s="118" t="e">
        <f>+(LOOKUP(L5,#REF!,#REF!))*B5</f>
        <v>#REF!</v>
      </c>
      <c r="T5" s="119" t="e">
        <f>+S3+R3+Q3+P3</f>
        <v>#REF!</v>
      </c>
    </row>
    <row r="6" spans="1:22" s="114" customFormat="1" ht="15">
      <c r="A6" s="110"/>
      <c r="B6" s="445"/>
      <c r="C6" s="446"/>
      <c r="D6" s="447">
        <f>SUMPRODUCT(B3:B5,D3:D5)</f>
        <v>0</v>
      </c>
      <c r="E6" s="448" t="s">
        <v>142</v>
      </c>
      <c r="F6" s="449"/>
      <c r="G6" s="443"/>
      <c r="H6" s="450">
        <f>+SUM(H3:H5)</f>
        <v>0</v>
      </c>
      <c r="I6" s="451" t="s">
        <v>143</v>
      </c>
      <c r="J6" s="440"/>
      <c r="K6" s="452"/>
      <c r="L6" s="112"/>
      <c r="M6" s="113"/>
      <c r="N6" s="113"/>
      <c r="O6" s="113"/>
      <c r="P6" s="124" t="e">
        <f>SUM(P3:P5)</f>
        <v>#REF!</v>
      </c>
      <c r="Q6" s="125" t="e">
        <f>SUM(Q3:Q5)</f>
        <v>#REF!</v>
      </c>
      <c r="R6" s="125" t="e">
        <f>SUM(R3:R5)</f>
        <v>#REF!</v>
      </c>
      <c r="S6" s="126" t="e">
        <f>SUM(S3:S5)</f>
        <v>#REF!</v>
      </c>
      <c r="T6" s="119" t="e">
        <f>+#REF!+#REF!+#REF!+#REF!</f>
        <v>#REF!</v>
      </c>
    </row>
    <row r="7" spans="1:22" s="114" customFormat="1" ht="15">
      <c r="A7" s="110"/>
      <c r="B7" s="445"/>
      <c r="C7" s="290"/>
      <c r="D7" s="439"/>
      <c r="E7" s="439"/>
      <c r="F7" s="440"/>
      <c r="G7" s="439"/>
      <c r="H7" s="440"/>
      <c r="I7" s="439"/>
      <c r="J7" s="440"/>
      <c r="K7" s="453"/>
      <c r="L7" s="112"/>
      <c r="N7" s="113"/>
      <c r="O7" s="113"/>
      <c r="P7" s="119"/>
      <c r="S7" s="110"/>
      <c r="T7" s="127" t="e">
        <f>SUM(T3:T6)</f>
        <v>#REF!</v>
      </c>
    </row>
    <row r="8" spans="1:22" s="114" customFormat="1" ht="15">
      <c r="A8" s="110"/>
      <c r="B8" s="291" t="s">
        <v>145</v>
      </c>
      <c r="C8" s="454"/>
      <c r="D8" s="455"/>
      <c r="E8" s="455"/>
      <c r="F8" s="456" t="s">
        <v>135</v>
      </c>
      <c r="G8" s="455"/>
      <c r="H8" s="456" t="s">
        <v>136</v>
      </c>
      <c r="I8" s="455"/>
      <c r="J8" s="440"/>
      <c r="K8" s="457"/>
      <c r="L8" s="112"/>
      <c r="O8" s="113"/>
      <c r="P8" s="119"/>
      <c r="S8" s="110"/>
    </row>
    <row r="9" spans="1:22" s="114" customFormat="1" ht="15">
      <c r="A9" s="110">
        <v>2</v>
      </c>
      <c r="B9" s="458">
        <v>4</v>
      </c>
      <c r="C9" s="188" t="str">
        <f>IF(A9=1,"Oficial Especializado",IF(A9=2,"Oficial",IF(A9=3,"Medio oficial",IF(A9=4,"Ayudante",IF(A9=5,"Maquinista",0)))))</f>
        <v>Oficial</v>
      </c>
      <c r="D9" s="459"/>
      <c r="E9" s="439"/>
      <c r="F9" s="440">
        <f>+'Mano de Obra'!G47</f>
        <v>338.59</v>
      </c>
      <c r="G9" s="441" t="s">
        <v>146</v>
      </c>
      <c r="H9" s="440">
        <f>F9*B9</f>
        <v>1354.36</v>
      </c>
      <c r="I9" s="441" t="s">
        <v>143</v>
      </c>
      <c r="J9" s="440"/>
      <c r="K9" s="460"/>
      <c r="L9" s="112"/>
      <c r="O9" s="113"/>
      <c r="S9" s="110"/>
    </row>
    <row r="10" spans="1:22" s="114" customFormat="1" ht="15">
      <c r="A10" s="110">
        <v>4</v>
      </c>
      <c r="B10" s="458">
        <v>8</v>
      </c>
      <c r="C10" s="188" t="str">
        <f t="shared" ref="C10" si="0">IF(A10=1,"Oficial Especializado",IF(A10=2,"Oficial",IF(A10=3,"Medio oficial",IF(A10=4,"Ayudante",IF(A10=5,"Maquinista",0)))))</f>
        <v>Ayudante</v>
      </c>
      <c r="D10" s="459"/>
      <c r="E10" s="439"/>
      <c r="F10" s="440">
        <f>+'Mano de Obra'!I47</f>
        <v>286.54000000000002</v>
      </c>
      <c r="G10" s="441" t="s">
        <v>146</v>
      </c>
      <c r="H10" s="440">
        <f>F10*B10</f>
        <v>2292.3200000000002</v>
      </c>
      <c r="I10" s="441" t="s">
        <v>143</v>
      </c>
      <c r="J10" s="440"/>
      <c r="K10" s="460"/>
      <c r="L10" s="112"/>
      <c r="O10" s="113"/>
      <c r="P10" s="983" t="s">
        <v>147</v>
      </c>
      <c r="Q10" s="983"/>
      <c r="R10" s="983"/>
      <c r="S10" s="130" t="e">
        <f>+SUM(P6:R6)*D28/D14</f>
        <v>#REF!</v>
      </c>
    </row>
    <row r="11" spans="1:22" s="114" customFormat="1" ht="15">
      <c r="A11" s="110"/>
      <c r="B11" s="445"/>
      <c r="C11" s="463"/>
      <c r="D11" s="439"/>
      <c r="E11" s="439"/>
      <c r="F11" s="440"/>
      <c r="G11" s="439"/>
      <c r="H11" s="464">
        <f>SUM(H9:H10)</f>
        <v>3646.6800000000003</v>
      </c>
      <c r="I11" s="465" t="s">
        <v>143</v>
      </c>
      <c r="J11" s="440"/>
      <c r="K11" s="453"/>
      <c r="L11" s="112"/>
      <c r="M11" s="134"/>
      <c r="N11" s="131"/>
      <c r="O11" s="113"/>
      <c r="P11" s="984" t="s">
        <v>0</v>
      </c>
      <c r="Q11" s="984"/>
      <c r="R11" s="984"/>
      <c r="S11" s="135" t="e">
        <f>+S6*D28/D14</f>
        <v>#REF!</v>
      </c>
    </row>
    <row r="12" spans="1:22" s="114" customFormat="1" ht="15">
      <c r="A12" s="110"/>
      <c r="B12" s="445"/>
      <c r="C12" s="463"/>
      <c r="D12" s="439"/>
      <c r="E12" s="439"/>
      <c r="F12" s="440"/>
      <c r="G12" s="439"/>
      <c r="H12" s="440"/>
      <c r="I12" s="439"/>
      <c r="J12" s="440"/>
      <c r="K12" s="453"/>
      <c r="L12" s="112"/>
      <c r="M12" s="134"/>
      <c r="N12" s="131"/>
      <c r="O12" s="113"/>
      <c r="P12" s="249"/>
      <c r="Q12" s="249"/>
      <c r="R12" s="249"/>
      <c r="S12" s="135"/>
    </row>
    <row r="13" spans="1:22" s="114" customFormat="1" ht="15">
      <c r="A13" s="110"/>
      <c r="B13" s="292" t="s">
        <v>148</v>
      </c>
      <c r="C13" s="454"/>
      <c r="D13" s="215" t="s">
        <v>149</v>
      </c>
      <c r="E13" s="455"/>
      <c r="F13" s="466"/>
      <c r="G13" s="455"/>
      <c r="H13" s="466"/>
      <c r="I13" s="455"/>
      <c r="J13" s="440">
        <f>H11+H6</f>
        <v>3646.6800000000003</v>
      </c>
      <c r="K13" s="452" t="s">
        <v>143</v>
      </c>
      <c r="L13" s="112"/>
      <c r="M13" s="113"/>
      <c r="N13" s="113"/>
      <c r="O13" s="113"/>
      <c r="P13" s="984" t="s">
        <v>1</v>
      </c>
      <c r="Q13" s="984"/>
      <c r="R13" s="984"/>
      <c r="S13" s="135" t="e">
        <f>+H11*D28/D14</f>
        <v>#REF!</v>
      </c>
    </row>
    <row r="14" spans="1:22" s="114" customFormat="1" ht="15">
      <c r="A14" s="110"/>
      <c r="B14" s="292" t="s">
        <v>150</v>
      </c>
      <c r="C14" s="467"/>
      <c r="D14" s="439">
        <v>200</v>
      </c>
      <c r="E14" s="468" t="s">
        <v>175</v>
      </c>
      <c r="F14" s="466"/>
      <c r="G14" s="455"/>
      <c r="H14" s="466"/>
      <c r="I14" s="455"/>
      <c r="J14" s="440"/>
      <c r="K14" s="457"/>
      <c r="L14" s="112"/>
      <c r="M14" s="113"/>
      <c r="N14" s="113"/>
      <c r="O14" s="138"/>
      <c r="P14" s="984" t="s">
        <v>152</v>
      </c>
      <c r="Q14" s="984"/>
      <c r="R14" s="984"/>
      <c r="S14" s="135"/>
    </row>
    <row r="15" spans="1:22" s="114" customFormat="1" ht="15">
      <c r="A15" s="110"/>
      <c r="B15" s="292" t="s">
        <v>178</v>
      </c>
      <c r="C15" s="454"/>
      <c r="D15" s="459"/>
      <c r="E15" s="469">
        <f>J13</f>
        <v>3646.6800000000003</v>
      </c>
      <c r="F15" s="439" t="s">
        <v>154</v>
      </c>
      <c r="G15" s="439">
        <f>D14</f>
        <v>200</v>
      </c>
      <c r="H15" s="468" t="str">
        <f>E14</f>
        <v>m²/d</v>
      </c>
      <c r="I15" s="439" t="s">
        <v>155</v>
      </c>
      <c r="J15" s="440">
        <f>E15/G15</f>
        <v>18.233400000000003</v>
      </c>
      <c r="K15" s="453" t="s">
        <v>89</v>
      </c>
      <c r="L15" s="112"/>
      <c r="M15" s="113"/>
      <c r="N15" s="113"/>
      <c r="O15" s="113"/>
      <c r="S15" s="135" t="e">
        <f>+S13+S11+S10</f>
        <v>#REF!</v>
      </c>
    </row>
    <row r="16" spans="1:22" s="114" customFormat="1" ht="15">
      <c r="A16" s="110"/>
      <c r="B16" s="292"/>
      <c r="C16" s="454"/>
      <c r="D16" s="459"/>
      <c r="E16" s="469"/>
      <c r="F16" s="439"/>
      <c r="G16" s="439"/>
      <c r="H16" s="468"/>
      <c r="I16" s="439"/>
      <c r="J16" s="440"/>
      <c r="K16" s="453"/>
      <c r="L16" s="112"/>
      <c r="M16" s="113"/>
      <c r="N16" s="113"/>
      <c r="O16" s="113"/>
      <c r="S16" s="161"/>
    </row>
    <row r="17" spans="1:19" s="114" customFormat="1" ht="15">
      <c r="A17" s="110"/>
      <c r="B17" s="291" t="s">
        <v>165</v>
      </c>
      <c r="C17" s="454"/>
      <c r="D17" s="459"/>
      <c r="E17" s="469"/>
      <c r="F17" s="439"/>
      <c r="G17" s="439"/>
      <c r="H17" s="468"/>
      <c r="I17" s="439"/>
      <c r="J17" s="440"/>
      <c r="K17" s="453"/>
      <c r="L17" s="112"/>
      <c r="M17" s="113"/>
      <c r="N17" s="113"/>
      <c r="O17" s="113"/>
      <c r="S17" s="161"/>
    </row>
    <row r="18" spans="1:19" s="114" customFormat="1" ht="15">
      <c r="A18" s="110"/>
      <c r="B18" s="292"/>
      <c r="C18" s="454"/>
      <c r="D18" s="459"/>
      <c r="E18" s="469"/>
      <c r="F18" s="439"/>
      <c r="G18" s="439"/>
      <c r="H18" s="468"/>
      <c r="I18" s="439"/>
      <c r="J18" s="440"/>
      <c r="K18" s="453"/>
      <c r="L18" s="112"/>
      <c r="M18" s="113"/>
      <c r="N18" s="113"/>
      <c r="O18" s="113"/>
      <c r="S18" s="161"/>
    </row>
    <row r="19" spans="1:19" s="114" customFormat="1" ht="15">
      <c r="A19" s="110"/>
      <c r="B19" s="208" t="s">
        <v>166</v>
      </c>
      <c r="C19" s="188"/>
      <c r="D19" s="459" t="s">
        <v>167</v>
      </c>
      <c r="E19" s="469"/>
      <c r="F19" s="439"/>
      <c r="G19" s="439" t="s">
        <v>135</v>
      </c>
      <c r="H19" s="468"/>
      <c r="I19" s="439"/>
      <c r="J19" s="440" t="s">
        <v>168</v>
      </c>
      <c r="K19" s="453"/>
      <c r="L19" s="112"/>
      <c r="M19" s="113"/>
      <c r="N19" s="113"/>
      <c r="O19" s="113"/>
      <c r="S19" s="161"/>
    </row>
    <row r="20" spans="1:19" s="114" customFormat="1" ht="15">
      <c r="A20" s="110"/>
      <c r="B20" s="481" t="e">
        <f>+'Precios Básicos Materiales'!#REF!</f>
        <v>#REF!</v>
      </c>
      <c r="C20" s="482"/>
      <c r="D20" s="486">
        <v>1.1000000000000001</v>
      </c>
      <c r="E20" s="478" t="s">
        <v>176</v>
      </c>
      <c r="F20" s="478"/>
      <c r="G20" s="486" t="e">
        <f>+'Precios Básicos Materiales'!#REF!</f>
        <v>#REF!</v>
      </c>
      <c r="H20" s="488" t="s">
        <v>89</v>
      </c>
      <c r="I20" s="478"/>
      <c r="J20" s="478" t="e">
        <f>+G20*D20</f>
        <v>#REF!</v>
      </c>
      <c r="K20" s="489" t="s">
        <v>89</v>
      </c>
      <c r="L20" s="112"/>
      <c r="M20" s="113"/>
      <c r="N20" s="113"/>
      <c r="O20" s="113"/>
      <c r="S20" s="161"/>
    </row>
    <row r="21" spans="1:19" s="114" customFormat="1" ht="15">
      <c r="A21" s="110"/>
      <c r="B21" s="481" t="s">
        <v>246</v>
      </c>
      <c r="C21" s="482"/>
      <c r="D21" s="486">
        <f>0.096*1.2</f>
        <v>0.1152</v>
      </c>
      <c r="E21" s="478" t="s">
        <v>242</v>
      </c>
      <c r="F21" s="478"/>
      <c r="G21" s="486" t="e">
        <f>+'AUX Dosaje Hormigón'!I9+'AUX Ejecución Hormigón'!H53+100</f>
        <v>#REF!</v>
      </c>
      <c r="H21" s="488" t="s">
        <v>91</v>
      </c>
      <c r="I21" s="478"/>
      <c r="J21" s="478" t="e">
        <f t="shared" ref="J21:J23" si="1">+G21*D21</f>
        <v>#REF!</v>
      </c>
      <c r="K21" s="489" t="s">
        <v>89</v>
      </c>
      <c r="L21" s="112"/>
      <c r="M21" s="113"/>
      <c r="N21" s="113"/>
      <c r="O21" s="113"/>
      <c r="S21" s="161"/>
    </row>
    <row r="22" spans="1:19" s="114" customFormat="1" ht="15">
      <c r="A22" s="110"/>
      <c r="B22" s="481" t="s">
        <v>244</v>
      </c>
      <c r="C22" s="482"/>
      <c r="D22" s="486">
        <v>9</v>
      </c>
      <c r="E22" s="478" t="s">
        <v>245</v>
      </c>
      <c r="F22" s="478"/>
      <c r="G22" s="486">
        <v>2.77</v>
      </c>
      <c r="H22" s="488" t="s">
        <v>87</v>
      </c>
      <c r="I22" s="478"/>
      <c r="J22" s="478">
        <f t="shared" ref="J22" si="2">+G22*D22</f>
        <v>24.93</v>
      </c>
      <c r="K22" s="489" t="s">
        <v>89</v>
      </c>
      <c r="L22" s="112"/>
      <c r="M22" s="113"/>
      <c r="N22" s="113"/>
      <c r="O22" s="113"/>
      <c r="S22" s="161"/>
    </row>
    <row r="23" spans="1:19" s="114" customFormat="1" ht="15">
      <c r="A23" s="110"/>
      <c r="B23" s="481" t="s">
        <v>243</v>
      </c>
      <c r="C23" s="482"/>
      <c r="D23" s="486">
        <f>0.06*1.2</f>
        <v>7.1999999999999995E-2</v>
      </c>
      <c r="E23" s="478" t="s">
        <v>177</v>
      </c>
      <c r="F23" s="478"/>
      <c r="G23" s="486" t="e">
        <f>+'AUX  AC Materiales'!#REF!</f>
        <v>#REF!</v>
      </c>
      <c r="H23" s="488" t="s">
        <v>171</v>
      </c>
      <c r="I23" s="478"/>
      <c r="J23" s="478" t="e">
        <f t="shared" si="1"/>
        <v>#REF!</v>
      </c>
      <c r="K23" s="489" t="s">
        <v>89</v>
      </c>
      <c r="L23" s="112"/>
      <c r="M23" s="113"/>
      <c r="N23" s="113"/>
      <c r="O23" s="113"/>
      <c r="S23" s="161"/>
    </row>
    <row r="24" spans="1:19" s="114" customFormat="1" ht="15">
      <c r="A24" s="110"/>
      <c r="B24" s="273"/>
      <c r="C24" s="490"/>
      <c r="D24" s="486"/>
      <c r="E24" s="487"/>
      <c r="F24" s="478"/>
      <c r="G24" s="478"/>
      <c r="H24" s="488"/>
      <c r="I24" s="478"/>
      <c r="J24" s="491" t="e">
        <f>SUM(J20:J23)</f>
        <v>#REF!</v>
      </c>
      <c r="K24" s="492" t="s">
        <v>89</v>
      </c>
      <c r="L24" s="112"/>
      <c r="M24" s="113"/>
      <c r="N24" s="113"/>
      <c r="O24" s="113"/>
      <c r="S24" s="161"/>
    </row>
    <row r="25" spans="1:19" s="114" customFormat="1" ht="15">
      <c r="A25" s="110"/>
      <c r="B25" s="292"/>
      <c r="C25" s="454"/>
      <c r="D25" s="459"/>
      <c r="E25" s="469"/>
      <c r="F25" s="439"/>
      <c r="G25" s="439"/>
      <c r="H25" s="468"/>
      <c r="I25" s="439"/>
      <c r="J25" s="440"/>
      <c r="K25" s="453"/>
      <c r="L25" s="112"/>
      <c r="M25" s="113"/>
      <c r="N25" s="113"/>
      <c r="O25" s="113"/>
      <c r="S25" s="161"/>
    </row>
    <row r="26" spans="1:19" s="114" customFormat="1" ht="15">
      <c r="A26" s="110"/>
      <c r="B26" s="292" t="s">
        <v>157</v>
      </c>
      <c r="C26" s="454"/>
      <c r="D26" s="459"/>
      <c r="E26" s="469"/>
      <c r="F26" s="439"/>
      <c r="G26" s="439"/>
      <c r="H26" s="439"/>
      <c r="I26" s="439"/>
      <c r="J26" s="270" t="e">
        <f>+J15+J24</f>
        <v>#REF!</v>
      </c>
      <c r="K26" s="373" t="s">
        <v>89</v>
      </c>
      <c r="P26" s="139"/>
      <c r="S26" s="110"/>
    </row>
    <row r="27" spans="1:19" s="114" customFormat="1" ht="15">
      <c r="A27" s="110"/>
      <c r="B27" s="292"/>
      <c r="C27" s="454"/>
      <c r="D27" s="459"/>
      <c r="E27" s="469"/>
      <c r="F27" s="439"/>
      <c r="G27" s="439"/>
      <c r="H27" s="439"/>
      <c r="I27" s="439"/>
      <c r="J27" s="440"/>
      <c r="K27" s="453"/>
      <c r="L27" s="112"/>
      <c r="M27" s="113"/>
      <c r="N27" s="113"/>
      <c r="O27" s="113"/>
      <c r="P27" s="139"/>
      <c r="S27" s="140"/>
    </row>
    <row r="28" spans="1:19" s="114" customFormat="1" ht="15.75" thickBot="1">
      <c r="A28" s="110"/>
      <c r="B28" s="470" t="s">
        <v>158</v>
      </c>
      <c r="C28" s="266"/>
      <c r="D28" s="471" t="e">
        <f>+#REF!</f>
        <v>#REF!</v>
      </c>
      <c r="E28" s="471" t="s">
        <v>159</v>
      </c>
      <c r="F28" s="471" t="e">
        <f>J26</f>
        <v>#REF!</v>
      </c>
      <c r="G28" s="471" t="str">
        <f>K15</f>
        <v>$/m²</v>
      </c>
      <c r="H28" s="449"/>
      <c r="I28" s="471" t="s">
        <v>155</v>
      </c>
      <c r="J28" s="271" t="e">
        <f>+D28*F28</f>
        <v>#REF!</v>
      </c>
      <c r="K28" s="374" t="str">
        <f>K15</f>
        <v>$/m²</v>
      </c>
      <c r="L28" s="141"/>
      <c r="M28" s="142"/>
      <c r="N28" s="113"/>
      <c r="O28" s="113"/>
      <c r="P28" s="143"/>
      <c r="S28" s="110"/>
    </row>
    <row r="29" spans="1:19" s="122" customFormat="1" ht="17.25" thickTop="1" thickBot="1">
      <c r="A29" s="129"/>
      <c r="B29" s="989" t="s">
        <v>160</v>
      </c>
      <c r="C29" s="989"/>
      <c r="D29" s="990" t="e">
        <f>ROUND(J28,2)</f>
        <v>#REF!</v>
      </c>
      <c r="E29" s="990"/>
      <c r="F29" s="992" t="str">
        <f>+K28</f>
        <v>$/m²</v>
      </c>
      <c r="G29" s="992"/>
      <c r="H29" s="992"/>
      <c r="I29" s="144"/>
      <c r="J29" s="145"/>
      <c r="K29" s="146"/>
      <c r="L29" s="147"/>
      <c r="M29" s="148"/>
      <c r="N29" s="128"/>
      <c r="O29" s="128"/>
      <c r="P29" s="149"/>
      <c r="S29" s="129"/>
    </row>
    <row r="30" spans="1:19" ht="15.75" thickTop="1">
      <c r="C30" s="152"/>
      <c r="D30" s="123"/>
      <c r="E30" s="123"/>
      <c r="F30" s="121"/>
      <c r="G30" s="123"/>
    </row>
    <row r="31" spans="1:19">
      <c r="C31" s="155"/>
      <c r="P31" s="156"/>
    </row>
    <row r="32" spans="1:19">
      <c r="C32" s="157"/>
      <c r="D32" s="985"/>
      <c r="E32" s="985"/>
      <c r="F32" s="158"/>
    </row>
    <row r="33" spans="3:16">
      <c r="C33" s="157"/>
      <c r="D33" s="985"/>
      <c r="E33" s="985"/>
      <c r="P33" s="156"/>
    </row>
    <row r="34" spans="3:16">
      <c r="C34" s="157"/>
      <c r="D34" s="985"/>
      <c r="E34" s="985"/>
    </row>
    <row r="35" spans="3:16">
      <c r="C35" s="157"/>
      <c r="D35" s="985"/>
      <c r="E35" s="985"/>
    </row>
  </sheetData>
  <mergeCells count="12">
    <mergeCell ref="D32:E32"/>
    <mergeCell ref="D33:E33"/>
    <mergeCell ref="D34:E34"/>
    <mergeCell ref="D35:E35"/>
    <mergeCell ref="B1:K1"/>
    <mergeCell ref="P10:R10"/>
    <mergeCell ref="P11:R11"/>
    <mergeCell ref="P13:R13"/>
    <mergeCell ref="P14:R14"/>
    <mergeCell ref="B29:C29"/>
    <mergeCell ref="D29:E29"/>
    <mergeCell ref="F29:H29"/>
  </mergeCells>
  <hyperlinks>
    <hyperlink ref="V1" location="'Pres-geob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V34"/>
  <sheetViews>
    <sheetView showGridLines="0" view="pageBreakPreview" topLeftCell="A7" zoomScaleNormal="100" zoomScaleSheetLayoutView="100" workbookViewId="0">
      <selection activeCell="V28" sqref="V28"/>
    </sheetView>
  </sheetViews>
  <sheetFormatPr baseColWidth="10" defaultColWidth="11" defaultRowHeight="13.5"/>
  <cols>
    <col min="1" max="1" width="4.7109375" style="150" customWidth="1"/>
    <col min="2" max="2" width="3.5703125" style="151" customWidth="1"/>
    <col min="3" max="3" width="33.7109375" style="151" customWidth="1"/>
    <col min="4" max="4" width="5.28515625" style="150" customWidth="1"/>
    <col min="5" max="5" width="7.85546875" style="151" customWidth="1"/>
    <col min="6" max="6" width="8" style="151" customWidth="1"/>
    <col min="7" max="7" width="6.42578125" style="151" customWidth="1"/>
    <col min="8" max="8" width="8.28515625" style="151" customWidth="1"/>
    <col min="9" max="9" width="3.28515625" style="151" customWidth="1"/>
    <col min="10" max="10" width="8.85546875" style="153" customWidth="1"/>
    <col min="11" max="11" width="4.85546875" style="154" customWidth="1"/>
    <col min="12" max="12" width="11" style="150" hidden="1" customWidth="1"/>
    <col min="13" max="13" width="18.85546875" style="151" hidden="1" customWidth="1"/>
    <col min="14" max="18" width="11" style="151" hidden="1" customWidth="1"/>
    <col min="19" max="19" width="12.28515625" style="150" hidden="1" customWidth="1"/>
    <col min="20" max="20" width="0" style="151" hidden="1" customWidth="1"/>
    <col min="21" max="16384" width="11" style="151"/>
  </cols>
  <sheetData>
    <row r="1" spans="1:22" s="108" customFormat="1" ht="19.5" thickTop="1" thickBot="1">
      <c r="A1" s="107"/>
      <c r="B1" s="986" t="s">
        <v>174</v>
      </c>
      <c r="C1" s="987"/>
      <c r="D1" s="987"/>
      <c r="E1" s="987"/>
      <c r="F1" s="987"/>
      <c r="G1" s="987"/>
      <c r="H1" s="987"/>
      <c r="I1" s="987"/>
      <c r="J1" s="987"/>
      <c r="K1" s="988"/>
      <c r="L1" s="107"/>
      <c r="S1" s="107"/>
      <c r="V1" s="305" t="s">
        <v>2</v>
      </c>
    </row>
    <row r="2" spans="1:22" s="114" customFormat="1" ht="15.75" thickTop="1">
      <c r="A2" s="110"/>
      <c r="B2" s="265" t="s">
        <v>133</v>
      </c>
      <c r="C2" s="434"/>
      <c r="D2" s="483" t="s">
        <v>134</v>
      </c>
      <c r="E2" s="483"/>
      <c r="F2" s="484" t="s">
        <v>135</v>
      </c>
      <c r="G2" s="483"/>
      <c r="H2" s="484" t="s">
        <v>136</v>
      </c>
      <c r="I2" s="483"/>
      <c r="J2" s="484"/>
      <c r="K2" s="485"/>
      <c r="L2" s="112"/>
      <c r="M2" s="113"/>
      <c r="N2" s="113"/>
      <c r="O2" s="113"/>
      <c r="P2" s="110" t="s">
        <v>137</v>
      </c>
      <c r="Q2" s="110" t="s">
        <v>138</v>
      </c>
      <c r="R2" s="110" t="s">
        <v>139</v>
      </c>
      <c r="S2" s="110" t="s">
        <v>140</v>
      </c>
      <c r="V2" s="109" t="s">
        <v>141</v>
      </c>
    </row>
    <row r="3" spans="1:22" s="114" customFormat="1" ht="15">
      <c r="A3" s="110">
        <v>5</v>
      </c>
      <c r="B3" s="437">
        <v>0.4</v>
      </c>
      <c r="C3" s="188" t="str">
        <f>VLOOKUP(A3,'Costo Equipos'!$1:$1048576,2,0)</f>
        <v>Retroexcavadora Hyundai R210-7</v>
      </c>
      <c r="D3" s="438">
        <f>VLOOKUP(A3,'Costo Equipos'!$1:$1048576,23,0)</f>
        <v>0</v>
      </c>
      <c r="E3" s="439" t="s">
        <v>142</v>
      </c>
      <c r="F3" s="440">
        <f>VLOOKUP(A3,'Costo Equipos'!$1:$1048576,33,0)</f>
        <v>0</v>
      </c>
      <c r="G3" s="441" t="str">
        <f>+G8</f>
        <v>$/d  =</v>
      </c>
      <c r="H3" s="442">
        <f>+F3*B3</f>
        <v>0</v>
      </c>
      <c r="I3" s="441" t="s">
        <v>143</v>
      </c>
      <c r="J3" s="443"/>
      <c r="K3" s="444"/>
      <c r="L3" s="112">
        <v>13</v>
      </c>
      <c r="M3" s="113" t="e">
        <f>+LOOKUP(L3,#REF!,#REF!)</f>
        <v>#REF!</v>
      </c>
      <c r="N3" s="113" t="s">
        <v>144</v>
      </c>
      <c r="O3" s="113"/>
      <c r="P3" s="118" t="e">
        <f>+(LOOKUP(L3,#REF!,#REF!))*B3</f>
        <v>#REF!</v>
      </c>
      <c r="Q3" s="118" t="e">
        <f>+(LOOKUP(L3,#REF!,#REF!))*B3</f>
        <v>#REF!</v>
      </c>
      <c r="R3" s="118" t="e">
        <f>+(LOOKUP(L3,#REF!,#REF!))*B3</f>
        <v>#REF!</v>
      </c>
      <c r="S3" s="118" t="e">
        <f>+(LOOKUP(L3,#REF!,#REF!))*B3</f>
        <v>#REF!</v>
      </c>
      <c r="T3" s="119" t="e">
        <f>+#REF!+#REF!+#REF!+#REF!</f>
        <v>#REF!</v>
      </c>
    </row>
    <row r="4" spans="1:22" s="114" customFormat="1" ht="15">
      <c r="A4" s="110">
        <v>41</v>
      </c>
      <c r="B4" s="437">
        <v>0.4</v>
      </c>
      <c r="C4" s="188" t="str">
        <f>VLOOKUP(A4,'Costo Equipos'!$1:$1048576,2,0)</f>
        <v>Camion Volcador 15 t</v>
      </c>
      <c r="D4" s="438">
        <f>VLOOKUP(A4,'Costo Equipos'!$1:$1048576,23,0)</f>
        <v>0</v>
      </c>
      <c r="E4" s="439" t="s">
        <v>142</v>
      </c>
      <c r="F4" s="440">
        <f>VLOOKUP(A4,'Costo Equipos'!$1:$1048576,33,0)</f>
        <v>0</v>
      </c>
      <c r="G4" s="441" t="str">
        <f>+G3</f>
        <v>$/d  =</v>
      </c>
      <c r="H4" s="442">
        <f>+F4*B4</f>
        <v>0</v>
      </c>
      <c r="I4" s="441" t="s">
        <v>143</v>
      </c>
      <c r="J4" s="443"/>
      <c r="K4" s="444"/>
      <c r="L4" s="112">
        <v>7</v>
      </c>
      <c r="M4" s="113" t="e">
        <f>+LOOKUP(L4,#REF!,#REF!)</f>
        <v>#REF!</v>
      </c>
      <c r="N4" s="113"/>
      <c r="O4" s="113"/>
      <c r="P4" s="118" t="e">
        <f>+(LOOKUP(L4,#REF!,#REF!))*B4</f>
        <v>#REF!</v>
      </c>
      <c r="Q4" s="118" t="e">
        <f>+(LOOKUP(L4,#REF!,#REF!))*B4</f>
        <v>#REF!</v>
      </c>
      <c r="R4" s="118" t="e">
        <f>+(LOOKUP(L4,#REF!,#REF!))*B4</f>
        <v>#REF!</v>
      </c>
      <c r="S4" s="118" t="e">
        <f>+(LOOKUP(L4,#REF!,#REF!))*B4</f>
        <v>#REF!</v>
      </c>
      <c r="T4" s="119" t="e">
        <f>+S3+R3+Q3+P3</f>
        <v>#REF!</v>
      </c>
    </row>
    <row r="5" spans="1:22" s="114" customFormat="1" ht="15">
      <c r="A5" s="110"/>
      <c r="B5" s="445"/>
      <c r="C5" s="446"/>
      <c r="D5" s="447">
        <f>SUMPRODUCT(B3:B4,D3:D4)</f>
        <v>0</v>
      </c>
      <c r="E5" s="448" t="s">
        <v>142</v>
      </c>
      <c r="F5" s="449"/>
      <c r="G5" s="443"/>
      <c r="H5" s="450">
        <f>+SUM(H3:H4)</f>
        <v>0</v>
      </c>
      <c r="I5" s="451" t="s">
        <v>143</v>
      </c>
      <c r="J5" s="440"/>
      <c r="K5" s="452"/>
      <c r="L5" s="112"/>
      <c r="M5" s="113"/>
      <c r="N5" s="113"/>
      <c r="O5" s="113"/>
      <c r="P5" s="124" t="e">
        <f>SUM(P3:P4)</f>
        <v>#REF!</v>
      </c>
      <c r="Q5" s="125" t="e">
        <f>SUM(Q3:Q4)</f>
        <v>#REF!</v>
      </c>
      <c r="R5" s="125" t="e">
        <f>SUM(R3:R4)</f>
        <v>#REF!</v>
      </c>
      <c r="S5" s="126" t="e">
        <f>SUM(S3:S4)</f>
        <v>#REF!</v>
      </c>
      <c r="T5" s="119" t="e">
        <f>+#REF!+#REF!+#REF!+#REF!</f>
        <v>#REF!</v>
      </c>
    </row>
    <row r="6" spans="1:22" s="114" customFormat="1" ht="15">
      <c r="A6" s="110"/>
      <c r="B6" s="445"/>
      <c r="C6" s="290"/>
      <c r="D6" s="439"/>
      <c r="E6" s="439"/>
      <c r="F6" s="440"/>
      <c r="G6" s="439"/>
      <c r="H6" s="440"/>
      <c r="I6" s="439"/>
      <c r="J6" s="440"/>
      <c r="K6" s="453"/>
      <c r="L6" s="112"/>
      <c r="N6" s="113"/>
      <c r="O6" s="113"/>
      <c r="P6" s="119"/>
      <c r="S6" s="110"/>
      <c r="T6" s="127" t="e">
        <f>SUM(T3:T5)</f>
        <v>#REF!</v>
      </c>
    </row>
    <row r="7" spans="1:22" s="114" customFormat="1" ht="15">
      <c r="A7" s="110"/>
      <c r="B7" s="291" t="s">
        <v>145</v>
      </c>
      <c r="C7" s="454"/>
      <c r="D7" s="455"/>
      <c r="E7" s="455"/>
      <c r="F7" s="456" t="s">
        <v>135</v>
      </c>
      <c r="G7" s="455"/>
      <c r="H7" s="456" t="s">
        <v>136</v>
      </c>
      <c r="I7" s="455"/>
      <c r="J7" s="440"/>
      <c r="K7" s="457"/>
      <c r="L7" s="112"/>
      <c r="O7" s="113"/>
      <c r="P7" s="119"/>
      <c r="S7" s="110"/>
    </row>
    <row r="8" spans="1:22" s="114" customFormat="1" ht="15">
      <c r="A8" s="110">
        <v>1</v>
      </c>
      <c r="B8" s="458">
        <v>1</v>
      </c>
      <c r="C8" s="188" t="str">
        <f>IF(A8=1,"Oficial Especializado",IF(A8=2,"Oficial",IF(A8=3,"Medio oficial",IF(A8=4,"Ayudante",IF(A8=5,"Maquinista",0)))))</f>
        <v>Oficial Especializado</v>
      </c>
      <c r="D8" s="459"/>
      <c r="E8" s="439"/>
      <c r="F8" s="440">
        <f>+'Mano de Obra'!F47</f>
        <v>397.36</v>
      </c>
      <c r="G8" s="441" t="s">
        <v>146</v>
      </c>
      <c r="H8" s="440">
        <f>F8*B8</f>
        <v>397.36</v>
      </c>
      <c r="I8" s="441" t="s">
        <v>143</v>
      </c>
      <c r="J8" s="440"/>
      <c r="K8" s="460"/>
      <c r="L8" s="112"/>
      <c r="O8" s="113"/>
      <c r="S8" s="110"/>
    </row>
    <row r="9" spans="1:22" s="114" customFormat="1" ht="15">
      <c r="A9" s="110">
        <v>2</v>
      </c>
      <c r="B9" s="458">
        <v>2</v>
      </c>
      <c r="C9" s="188" t="str">
        <f t="shared" ref="C9:C10" si="0">IF(A9=1,"Oficial Especializado",IF(A9=2,"Oficial",IF(A9=3,"Medio oficial",IF(A9=4,"Ayudante",IF(A9=5,"Maquinista",0)))))</f>
        <v>Oficial</v>
      </c>
      <c r="D9" s="459"/>
      <c r="E9" s="439"/>
      <c r="F9" s="440">
        <f>+'Mano de Obra'!G47</f>
        <v>338.59</v>
      </c>
      <c r="G9" s="441" t="s">
        <v>146</v>
      </c>
      <c r="H9" s="440">
        <f>F9*B9</f>
        <v>677.18</v>
      </c>
      <c r="I9" s="441" t="s">
        <v>143</v>
      </c>
      <c r="J9" s="440"/>
      <c r="K9" s="460"/>
      <c r="L9" s="112"/>
      <c r="O9" s="113"/>
      <c r="P9" s="983" t="s">
        <v>147</v>
      </c>
      <c r="Q9" s="983"/>
      <c r="R9" s="983"/>
      <c r="S9" s="130" t="e">
        <f>+SUM(P5:R5)*D27/D14</f>
        <v>#REF!</v>
      </c>
    </row>
    <row r="10" spans="1:22" s="114" customFormat="1" ht="15">
      <c r="A10" s="110">
        <v>4</v>
      </c>
      <c r="B10" s="458">
        <v>8</v>
      </c>
      <c r="C10" s="188" t="str">
        <f t="shared" si="0"/>
        <v>Ayudante</v>
      </c>
      <c r="D10" s="459" t="s">
        <v>4</v>
      </c>
      <c r="E10" s="439"/>
      <c r="F10" s="440">
        <f>+'Mano de Obra'!I47</f>
        <v>286.54000000000002</v>
      </c>
      <c r="G10" s="441" t="s">
        <v>146</v>
      </c>
      <c r="H10" s="461">
        <f>F10*B10</f>
        <v>2292.3200000000002</v>
      </c>
      <c r="I10" s="462" t="s">
        <v>143</v>
      </c>
      <c r="J10" s="440"/>
      <c r="K10" s="452"/>
      <c r="L10" s="112"/>
      <c r="M10" s="131"/>
      <c r="N10" s="131"/>
      <c r="O10" s="113"/>
      <c r="P10" s="983"/>
      <c r="Q10" s="983"/>
      <c r="R10" s="983"/>
      <c r="S10" s="132"/>
    </row>
    <row r="11" spans="1:22" s="114" customFormat="1" ht="15">
      <c r="A11" s="110"/>
      <c r="B11" s="445"/>
      <c r="C11" s="463"/>
      <c r="D11" s="439"/>
      <c r="E11" s="439"/>
      <c r="F11" s="440"/>
      <c r="G11" s="439"/>
      <c r="H11" s="464">
        <f>SUM(H8:H10)</f>
        <v>3366.86</v>
      </c>
      <c r="I11" s="465" t="s">
        <v>143</v>
      </c>
      <c r="J11" s="440"/>
      <c r="K11" s="453"/>
      <c r="L11" s="112"/>
      <c r="M11" s="134"/>
      <c r="N11" s="131"/>
      <c r="O11" s="113"/>
      <c r="P11" s="984" t="s">
        <v>0</v>
      </c>
      <c r="Q11" s="984"/>
      <c r="R11" s="984"/>
      <c r="S11" s="135" t="e">
        <f>+S5*D27/D14</f>
        <v>#REF!</v>
      </c>
    </row>
    <row r="12" spans="1:22" s="114" customFormat="1" ht="15">
      <c r="A12" s="110"/>
      <c r="B12" s="445"/>
      <c r="C12" s="463"/>
      <c r="D12" s="439"/>
      <c r="E12" s="439"/>
      <c r="F12" s="440"/>
      <c r="G12" s="439"/>
      <c r="H12" s="440"/>
      <c r="I12" s="439"/>
      <c r="J12" s="440"/>
      <c r="K12" s="453"/>
      <c r="L12" s="112"/>
      <c r="M12" s="134"/>
      <c r="N12" s="131"/>
      <c r="O12" s="113"/>
      <c r="P12" s="136"/>
      <c r="Q12" s="136"/>
      <c r="R12" s="136"/>
      <c r="S12" s="135"/>
    </row>
    <row r="13" spans="1:22" s="114" customFormat="1" ht="15">
      <c r="A13" s="110"/>
      <c r="B13" s="292" t="s">
        <v>148</v>
      </c>
      <c r="C13" s="454"/>
      <c r="D13" s="215" t="s">
        <v>149</v>
      </c>
      <c r="E13" s="455"/>
      <c r="F13" s="466"/>
      <c r="G13" s="455"/>
      <c r="H13" s="466"/>
      <c r="I13" s="455"/>
      <c r="J13" s="440">
        <f>H11+H5</f>
        <v>3366.86</v>
      </c>
      <c r="K13" s="452" t="s">
        <v>143</v>
      </c>
      <c r="L13" s="112"/>
      <c r="M13" s="113"/>
      <c r="N13" s="113"/>
      <c r="O13" s="113"/>
      <c r="P13" s="984" t="s">
        <v>1</v>
      </c>
      <c r="Q13" s="984"/>
      <c r="R13" s="984"/>
      <c r="S13" s="135" t="e">
        <f>+H11*D27/D14</f>
        <v>#REF!</v>
      </c>
    </row>
    <row r="14" spans="1:22" s="114" customFormat="1" ht="15">
      <c r="A14" s="110"/>
      <c r="B14" s="292" t="s">
        <v>150</v>
      </c>
      <c r="C14" s="467"/>
      <c r="D14" s="439">
        <v>30</v>
      </c>
      <c r="E14" s="468" t="s">
        <v>175</v>
      </c>
      <c r="F14" s="466"/>
      <c r="G14" s="455"/>
      <c r="H14" s="466"/>
      <c r="I14" s="455"/>
      <c r="J14" s="440"/>
      <c r="K14" s="457"/>
      <c r="L14" s="112"/>
      <c r="M14" s="113"/>
      <c r="N14" s="113"/>
      <c r="O14" s="138"/>
      <c r="P14" s="984" t="s">
        <v>152</v>
      </c>
      <c r="Q14" s="984"/>
      <c r="R14" s="984"/>
      <c r="S14" s="135"/>
    </row>
    <row r="15" spans="1:22" s="114" customFormat="1" ht="15">
      <c r="A15" s="110"/>
      <c r="B15" s="292" t="s">
        <v>178</v>
      </c>
      <c r="C15" s="454"/>
      <c r="D15" s="459"/>
      <c r="E15" s="469">
        <f>J13</f>
        <v>3366.86</v>
      </c>
      <c r="F15" s="439" t="s">
        <v>154</v>
      </c>
      <c r="G15" s="439">
        <f>D14</f>
        <v>30</v>
      </c>
      <c r="H15" s="468" t="str">
        <f>E14</f>
        <v>m²/d</v>
      </c>
      <c r="I15" s="439" t="s">
        <v>155</v>
      </c>
      <c r="J15" s="440">
        <f>E15/G15</f>
        <v>112.22866666666667</v>
      </c>
      <c r="K15" s="453" t="s">
        <v>89</v>
      </c>
      <c r="L15" s="112"/>
      <c r="M15" s="113"/>
      <c r="N15" s="113"/>
      <c r="O15" s="113"/>
      <c r="S15" s="135" t="e">
        <f>+S13+S11+S9</f>
        <v>#REF!</v>
      </c>
    </row>
    <row r="16" spans="1:22" s="114" customFormat="1" ht="15">
      <c r="A16" s="110"/>
      <c r="B16" s="292"/>
      <c r="C16" s="454"/>
      <c r="D16" s="459"/>
      <c r="E16" s="469"/>
      <c r="F16" s="439"/>
      <c r="G16" s="439"/>
      <c r="H16" s="468"/>
      <c r="I16" s="439"/>
      <c r="J16" s="440"/>
      <c r="K16" s="453"/>
      <c r="L16" s="112"/>
      <c r="M16" s="113"/>
      <c r="N16" s="113"/>
      <c r="O16" s="113"/>
      <c r="S16" s="161"/>
    </row>
    <row r="17" spans="1:19" s="114" customFormat="1" ht="15">
      <c r="A17" s="110"/>
      <c r="B17" s="291" t="s">
        <v>165</v>
      </c>
      <c r="C17" s="454"/>
      <c r="D17" s="459"/>
      <c r="E17" s="469"/>
      <c r="F17" s="439"/>
      <c r="G17" s="439"/>
      <c r="H17" s="468"/>
      <c r="I17" s="439"/>
      <c r="J17" s="440"/>
      <c r="K17" s="453"/>
      <c r="L17" s="112"/>
      <c r="M17" s="113"/>
      <c r="N17" s="113"/>
      <c r="O17" s="113"/>
      <c r="S17" s="161"/>
    </row>
    <row r="18" spans="1:19" s="114" customFormat="1" ht="15">
      <c r="A18" s="110"/>
      <c r="B18" s="292"/>
      <c r="C18" s="454"/>
      <c r="D18" s="459"/>
      <c r="E18" s="469"/>
      <c r="F18" s="439"/>
      <c r="G18" s="439"/>
      <c r="H18" s="468"/>
      <c r="I18" s="439"/>
      <c r="J18" s="440"/>
      <c r="K18" s="453"/>
      <c r="L18" s="112"/>
      <c r="M18" s="113"/>
      <c r="N18" s="113"/>
      <c r="O18" s="113"/>
      <c r="S18" s="161"/>
    </row>
    <row r="19" spans="1:19" s="114" customFormat="1" ht="15">
      <c r="A19" s="110"/>
      <c r="B19" s="481" t="s">
        <v>166</v>
      </c>
      <c r="C19" s="482"/>
      <c r="D19" s="486" t="s">
        <v>167</v>
      </c>
      <c r="E19" s="487"/>
      <c r="F19" s="478"/>
      <c r="G19" s="478" t="s">
        <v>135</v>
      </c>
      <c r="H19" s="488"/>
      <c r="I19" s="478"/>
      <c r="J19" s="474" t="s">
        <v>168</v>
      </c>
      <c r="K19" s="489"/>
      <c r="L19" s="112"/>
      <c r="M19" s="113"/>
      <c r="N19" s="113"/>
      <c r="O19" s="113"/>
      <c r="S19" s="161"/>
    </row>
    <row r="20" spans="1:19" s="114" customFormat="1" ht="15">
      <c r="A20" s="110"/>
      <c r="B20" s="481" t="e">
        <f>+'Precios Básicos Materiales'!#REF!</f>
        <v>#REF!</v>
      </c>
      <c r="C20" s="482"/>
      <c r="D20" s="486">
        <v>1.05</v>
      </c>
      <c r="E20" s="478" t="s">
        <v>176</v>
      </c>
      <c r="F20" s="478"/>
      <c r="G20" s="486" t="e">
        <f>+'Precios Básicos Materiales'!#REF!</f>
        <v>#REF!</v>
      </c>
      <c r="H20" s="488" t="s">
        <v>89</v>
      </c>
      <c r="I20" s="478"/>
      <c r="J20" s="478" t="e">
        <f t="shared" ref="J20:J22" si="1">+G20*D20</f>
        <v>#REF!</v>
      </c>
      <c r="K20" s="489" t="s">
        <v>89</v>
      </c>
      <c r="L20" s="112"/>
      <c r="M20" s="113"/>
      <c r="N20" s="113"/>
      <c r="O20" s="113"/>
      <c r="S20" s="161"/>
    </row>
    <row r="21" spans="1:19" s="114" customFormat="1" ht="15">
      <c r="A21" s="110"/>
      <c r="B21" s="481" t="s">
        <v>169</v>
      </c>
      <c r="C21" s="482"/>
      <c r="D21" s="486">
        <v>0.11</v>
      </c>
      <c r="E21" s="478" t="s">
        <v>177</v>
      </c>
      <c r="F21" s="478"/>
      <c r="G21" s="486" t="e">
        <f>+'AUX  AC Materiales'!#REF!</f>
        <v>#REF!</v>
      </c>
      <c r="H21" s="488" t="s">
        <v>171</v>
      </c>
      <c r="I21" s="478"/>
      <c r="J21" s="478" t="e">
        <f t="shared" si="1"/>
        <v>#REF!</v>
      </c>
      <c r="K21" s="489" t="s">
        <v>89</v>
      </c>
      <c r="L21" s="112"/>
      <c r="M21" s="113"/>
      <c r="N21" s="113"/>
      <c r="O21" s="113"/>
      <c r="S21" s="161"/>
    </row>
    <row r="22" spans="1:19" s="114" customFormat="1" ht="15">
      <c r="A22" s="110"/>
      <c r="B22" s="481" t="s">
        <v>172</v>
      </c>
      <c r="C22" s="482"/>
      <c r="D22" s="486">
        <v>0.26</v>
      </c>
      <c r="E22" s="478" t="s">
        <v>177</v>
      </c>
      <c r="F22" s="478"/>
      <c r="G22" s="486" t="e">
        <f>+'AUX  AC Materiales'!#REF!</f>
        <v>#REF!</v>
      </c>
      <c r="H22" s="488" t="s">
        <v>171</v>
      </c>
      <c r="I22" s="478"/>
      <c r="J22" s="478" t="e">
        <f t="shared" si="1"/>
        <v>#REF!</v>
      </c>
      <c r="K22" s="489" t="s">
        <v>89</v>
      </c>
      <c r="L22" s="112"/>
      <c r="M22" s="113"/>
      <c r="N22" s="113"/>
      <c r="O22" s="113"/>
      <c r="S22" s="161"/>
    </row>
    <row r="23" spans="1:19" s="114" customFormat="1" ht="15">
      <c r="A23" s="110"/>
      <c r="B23" s="273"/>
      <c r="C23" s="490"/>
      <c r="D23" s="486"/>
      <c r="E23" s="487"/>
      <c r="F23" s="478"/>
      <c r="G23" s="478"/>
      <c r="H23" s="488"/>
      <c r="I23" s="478"/>
      <c r="J23" s="491" t="e">
        <f>SUM(J20:J22)</f>
        <v>#REF!</v>
      </c>
      <c r="K23" s="492" t="s">
        <v>89</v>
      </c>
      <c r="L23" s="112"/>
      <c r="M23" s="113"/>
      <c r="N23" s="113"/>
      <c r="O23" s="113"/>
      <c r="S23" s="161"/>
    </row>
    <row r="24" spans="1:19" s="114" customFormat="1" ht="15">
      <c r="A24" s="110"/>
      <c r="B24" s="292"/>
      <c r="C24" s="454"/>
      <c r="D24" s="459"/>
      <c r="E24" s="469"/>
      <c r="F24" s="439"/>
      <c r="G24" s="439"/>
      <c r="H24" s="468"/>
      <c r="I24" s="439"/>
      <c r="J24" s="440"/>
      <c r="K24" s="453"/>
      <c r="L24" s="112"/>
      <c r="M24" s="113"/>
      <c r="N24" s="113"/>
      <c r="O24" s="113"/>
      <c r="S24" s="161"/>
    </row>
    <row r="25" spans="1:19" s="114" customFormat="1" ht="15">
      <c r="A25" s="110"/>
      <c r="B25" s="292" t="s">
        <v>157</v>
      </c>
      <c r="C25" s="454"/>
      <c r="D25" s="459"/>
      <c r="E25" s="469"/>
      <c r="F25" s="439"/>
      <c r="G25" s="439"/>
      <c r="H25" s="439"/>
      <c r="I25" s="439"/>
      <c r="J25" s="270" t="e">
        <f>+J15+J23</f>
        <v>#REF!</v>
      </c>
      <c r="K25" s="373" t="s">
        <v>89</v>
      </c>
      <c r="P25" s="139"/>
      <c r="S25" s="110"/>
    </row>
    <row r="26" spans="1:19" s="114" customFormat="1" ht="15">
      <c r="A26" s="110"/>
      <c r="B26" s="292"/>
      <c r="C26" s="454"/>
      <c r="D26" s="459"/>
      <c r="E26" s="469"/>
      <c r="F26" s="439"/>
      <c r="G26" s="439"/>
      <c r="H26" s="439"/>
      <c r="I26" s="439"/>
      <c r="J26" s="440"/>
      <c r="K26" s="453"/>
      <c r="L26" s="112"/>
      <c r="M26" s="113"/>
      <c r="N26" s="113"/>
      <c r="O26" s="113"/>
      <c r="P26" s="139"/>
      <c r="S26" s="140"/>
    </row>
    <row r="27" spans="1:19" s="114" customFormat="1" ht="15.75" thickBot="1">
      <c r="A27" s="110"/>
      <c r="B27" s="470" t="s">
        <v>158</v>
      </c>
      <c r="C27" s="266"/>
      <c r="D27" s="471" t="e">
        <f>+#REF!</f>
        <v>#REF!</v>
      </c>
      <c r="E27" s="471" t="s">
        <v>159</v>
      </c>
      <c r="F27" s="471" t="e">
        <f>J25</f>
        <v>#REF!</v>
      </c>
      <c r="G27" s="471" t="str">
        <f>K15</f>
        <v>$/m²</v>
      </c>
      <c r="H27" s="449"/>
      <c r="I27" s="471" t="s">
        <v>155</v>
      </c>
      <c r="J27" s="271" t="e">
        <f>+D27*F27</f>
        <v>#REF!</v>
      </c>
      <c r="K27" s="374" t="str">
        <f>K15</f>
        <v>$/m²</v>
      </c>
      <c r="L27" s="141"/>
      <c r="M27" s="142"/>
      <c r="N27" s="113"/>
      <c r="O27" s="113"/>
      <c r="P27" s="143"/>
      <c r="S27" s="110"/>
    </row>
    <row r="28" spans="1:19" s="122" customFormat="1" ht="17.25" thickTop="1" thickBot="1">
      <c r="A28" s="129"/>
      <c r="B28" s="989" t="s">
        <v>160</v>
      </c>
      <c r="C28" s="989"/>
      <c r="D28" s="990" t="e">
        <f>ROUND(J27,2)</f>
        <v>#REF!</v>
      </c>
      <c r="E28" s="990"/>
      <c r="F28" s="992" t="str">
        <f>+K27</f>
        <v>$/m²</v>
      </c>
      <c r="G28" s="992"/>
      <c r="H28" s="992"/>
      <c r="I28" s="144"/>
      <c r="J28" s="145"/>
      <c r="K28" s="146"/>
      <c r="L28" s="147"/>
      <c r="M28" s="148"/>
      <c r="N28" s="128"/>
      <c r="O28" s="128"/>
      <c r="P28" s="149"/>
      <c r="S28" s="129"/>
    </row>
    <row r="29" spans="1:19" ht="15.75" thickTop="1">
      <c r="C29" s="152"/>
      <c r="D29" s="123"/>
      <c r="E29" s="123"/>
      <c r="F29" s="121"/>
      <c r="G29" s="123"/>
    </row>
    <row r="30" spans="1:19">
      <c r="C30" s="155"/>
      <c r="P30" s="156"/>
    </row>
    <row r="31" spans="1:19">
      <c r="C31" s="157"/>
      <c r="D31" s="985"/>
      <c r="E31" s="985"/>
      <c r="F31" s="158"/>
    </row>
    <row r="32" spans="1:19">
      <c r="C32" s="157"/>
      <c r="D32" s="985"/>
      <c r="E32" s="985"/>
      <c r="P32" s="156"/>
    </row>
    <row r="33" spans="3:5">
      <c r="C33" s="157"/>
      <c r="D33" s="985"/>
      <c r="E33" s="985"/>
    </row>
    <row r="34" spans="3:5">
      <c r="C34" s="157"/>
      <c r="D34" s="985"/>
      <c r="E34" s="985"/>
    </row>
  </sheetData>
  <mergeCells count="12">
    <mergeCell ref="D31:E31"/>
    <mergeCell ref="D32:E32"/>
    <mergeCell ref="D33:E33"/>
    <mergeCell ref="D34:E34"/>
    <mergeCell ref="B1:K1"/>
    <mergeCell ref="P9:R10"/>
    <mergeCell ref="P11:R11"/>
    <mergeCell ref="P13:R13"/>
    <mergeCell ref="P14:R14"/>
    <mergeCell ref="B28:C28"/>
    <mergeCell ref="D28:E28"/>
    <mergeCell ref="F28:H28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I61"/>
  <sheetViews>
    <sheetView showGridLines="0" view="pageBreakPreview" zoomScaleNormal="100" zoomScaleSheetLayoutView="100" workbookViewId="0">
      <selection activeCell="U16" sqref="U16"/>
    </sheetView>
  </sheetViews>
  <sheetFormatPr baseColWidth="10" defaultColWidth="11" defaultRowHeight="13.5"/>
  <cols>
    <col min="1" max="1" width="14.42578125" style="10" customWidth="1"/>
    <col min="2" max="2" width="8.5703125" style="10" customWidth="1"/>
    <col min="3" max="3" width="12" style="10" customWidth="1"/>
    <col min="4" max="4" width="10.42578125" style="10" customWidth="1"/>
    <col min="5" max="5" width="9.7109375" style="10" customWidth="1"/>
    <col min="6" max="6" width="9.85546875" style="10" customWidth="1"/>
    <col min="7" max="7" width="12.140625" style="10" customWidth="1"/>
    <col min="8" max="8" width="14.5703125" style="10" customWidth="1"/>
    <col min="9" max="16384" width="11" style="10"/>
  </cols>
  <sheetData>
    <row r="1" spans="1:9" s="264" customFormat="1" ht="15">
      <c r="A1" s="5"/>
      <c r="B1" s="5"/>
      <c r="E1" s="7"/>
      <c r="G1" s="704"/>
      <c r="H1" s="8"/>
      <c r="I1" s="8"/>
    </row>
    <row r="2" spans="1:9" s="264" customFormat="1" ht="60.75" customHeight="1">
      <c r="A2" s="913" t="s">
        <v>352</v>
      </c>
      <c r="B2" s="913"/>
      <c r="C2" s="913"/>
      <c r="D2" s="913"/>
      <c r="E2" s="913"/>
      <c r="F2" s="913"/>
      <c r="G2" s="913"/>
      <c r="H2" s="913"/>
    </row>
    <row r="3" spans="1:9" s="264" customFormat="1" ht="16.5" customHeight="1">
      <c r="A3" s="5"/>
      <c r="B3" s="5"/>
      <c r="C3" s="807"/>
      <c r="D3" s="808"/>
      <c r="E3" s="808"/>
      <c r="F3" s="808"/>
      <c r="G3" s="808"/>
      <c r="H3" s="808"/>
      <c r="I3" s="808"/>
    </row>
    <row r="4" spans="1:9" ht="15.75" thickBot="1">
      <c r="A4" s="9"/>
      <c r="B4" s="9"/>
      <c r="C4" s="9"/>
      <c r="D4" s="9"/>
      <c r="E4" s="9"/>
      <c r="F4" s="9"/>
      <c r="G4" s="9"/>
      <c r="H4" s="9"/>
    </row>
    <row r="5" spans="1:9" ht="21.75" customHeight="1" thickTop="1" thickBot="1">
      <c r="B5" s="923" t="s">
        <v>3</v>
      </c>
      <c r="C5" s="924"/>
      <c r="D5" s="924"/>
      <c r="E5" s="924"/>
      <c r="F5" s="924"/>
      <c r="G5" s="925"/>
      <c r="H5" s="9"/>
    </row>
    <row r="6" spans="1:9" ht="15.75" thickTop="1">
      <c r="B6" s="11"/>
      <c r="C6" s="12"/>
      <c r="D6" s="12" t="s">
        <v>4</v>
      </c>
      <c r="E6" s="12"/>
      <c r="F6" s="12"/>
      <c r="G6" s="13"/>
      <c r="H6" s="9"/>
      <c r="I6" s="9"/>
    </row>
    <row r="7" spans="1:9" ht="15">
      <c r="B7" s="14" t="s">
        <v>5</v>
      </c>
      <c r="C7" s="12"/>
      <c r="D7" s="15"/>
      <c r="E7" s="15"/>
      <c r="F7" s="12"/>
      <c r="G7" s="16">
        <v>1</v>
      </c>
      <c r="H7" s="9"/>
      <c r="I7" s="9"/>
    </row>
    <row r="8" spans="1:9" ht="15">
      <c r="B8" s="14" t="s">
        <v>6</v>
      </c>
      <c r="C8" s="12"/>
      <c r="D8" s="15"/>
      <c r="E8" s="15"/>
      <c r="F8" s="17">
        <v>0.17</v>
      </c>
      <c r="G8" s="18">
        <f>G7*F8</f>
        <v>0.17</v>
      </c>
      <c r="H8" s="9"/>
      <c r="I8" s="9"/>
    </row>
    <row r="9" spans="1:9" ht="15">
      <c r="B9" s="14"/>
      <c r="C9" s="12"/>
      <c r="D9" s="15"/>
      <c r="E9" s="15"/>
      <c r="F9" s="17"/>
      <c r="G9" s="810">
        <f>SUM(G7:G8)</f>
        <v>1.17</v>
      </c>
      <c r="H9" s="9"/>
      <c r="I9" s="9"/>
    </row>
    <row r="10" spans="1:9" ht="15">
      <c r="B10" s="14" t="s">
        <v>7</v>
      </c>
      <c r="C10" s="12"/>
      <c r="D10" s="15"/>
      <c r="E10" s="15"/>
      <c r="F10" s="381">
        <v>0.03</v>
      </c>
      <c r="G10" s="16">
        <f>G9*F10</f>
        <v>3.5099999999999999E-2</v>
      </c>
      <c r="H10" s="9"/>
      <c r="I10" s="9"/>
    </row>
    <row r="11" spans="1:9" ht="15">
      <c r="B11" s="14" t="s">
        <v>8</v>
      </c>
      <c r="C11" s="12"/>
      <c r="D11" s="15"/>
      <c r="E11" s="15"/>
      <c r="F11" s="17">
        <v>0.1</v>
      </c>
      <c r="G11" s="16">
        <f>G9*F11</f>
        <v>0.11699999999999999</v>
      </c>
      <c r="H11" s="9"/>
      <c r="I11" s="9"/>
    </row>
    <row r="12" spans="1:9" ht="15">
      <c r="B12" s="11"/>
      <c r="C12" s="12"/>
      <c r="D12" s="15"/>
      <c r="E12" s="15"/>
      <c r="F12" s="12"/>
      <c r="G12" s="810">
        <f>SUM(G9:G11)</f>
        <v>1.3220999999999998</v>
      </c>
      <c r="H12" s="9"/>
      <c r="I12" s="9"/>
    </row>
    <row r="13" spans="1:9" ht="15">
      <c r="B13" s="14" t="s">
        <v>9</v>
      </c>
      <c r="C13" s="12"/>
      <c r="D13" s="15"/>
      <c r="E13" s="15"/>
      <c r="F13" s="17">
        <v>0.21</v>
      </c>
      <c r="G13" s="16">
        <f>TRUNC(+G12*F13*1000000)/1000000</f>
        <v>0.27764100000000003</v>
      </c>
      <c r="H13" s="9"/>
      <c r="I13" s="9"/>
    </row>
    <row r="14" spans="1:9" ht="15">
      <c r="B14" s="14" t="s">
        <v>10</v>
      </c>
      <c r="C14" s="12"/>
      <c r="D14" s="15"/>
      <c r="E14" s="15"/>
      <c r="F14" s="381">
        <v>3.5000000000000003E-2</v>
      </c>
      <c r="G14" s="16">
        <f>G12*F14</f>
        <v>4.6273499999999995E-2</v>
      </c>
      <c r="H14" s="9"/>
      <c r="I14" s="9"/>
    </row>
    <row r="15" spans="1:9" ht="12.75" customHeight="1">
      <c r="B15" s="14" t="s">
        <v>263</v>
      </c>
      <c r="C15" s="12"/>
      <c r="D15" s="15"/>
      <c r="E15" s="15"/>
      <c r="F15" s="381">
        <v>1.2E-2</v>
      </c>
      <c r="G15" s="16">
        <f>+F15*G12</f>
        <v>1.5865199999999999E-2</v>
      </c>
      <c r="H15" s="9"/>
      <c r="I15" s="9"/>
    </row>
    <row r="16" spans="1:9" ht="12.75" customHeight="1">
      <c r="B16" s="11"/>
      <c r="C16" s="12"/>
      <c r="D16" s="15"/>
      <c r="E16" s="15"/>
      <c r="F16" s="19"/>
      <c r="G16" s="810">
        <f>SUM(G12:G15)</f>
        <v>1.6618796999999998</v>
      </c>
      <c r="H16" s="9"/>
      <c r="I16" s="9"/>
    </row>
    <row r="17" spans="1:8" ht="12.75" customHeight="1">
      <c r="B17" s="11" t="s">
        <v>11</v>
      </c>
      <c r="C17" s="12"/>
      <c r="D17" s="20">
        <f>ROUND(G16,4)</f>
        <v>1.6618999999999999</v>
      </c>
      <c r="E17" s="20"/>
      <c r="F17" s="21"/>
      <c r="G17" s="13"/>
      <c r="H17" s="9"/>
    </row>
    <row r="18" spans="1:8" ht="18.75" customHeight="1" thickBot="1">
      <c r="B18" s="11"/>
      <c r="C18" s="12"/>
      <c r="D18" s="19"/>
      <c r="E18" s="21"/>
      <c r="F18" s="12"/>
      <c r="G18" s="13"/>
      <c r="H18" s="9"/>
    </row>
    <row r="19" spans="1:8" ht="15.75" thickBot="1">
      <c r="B19" s="22" t="s">
        <v>12</v>
      </c>
      <c r="C19" s="23"/>
      <c r="D19" s="24">
        <f>ROUND(D17,3)</f>
        <v>1.6619999999999999</v>
      </c>
      <c r="E19" s="25"/>
      <c r="F19" s="382"/>
      <c r="G19" s="26"/>
      <c r="H19" s="9"/>
    </row>
    <row r="20" spans="1:8" ht="15.75" thickTop="1">
      <c r="A20" s="9"/>
      <c r="B20" s="27"/>
      <c r="C20" s="9"/>
      <c r="D20" s="9"/>
      <c r="E20" s="9"/>
      <c r="F20" s="282"/>
      <c r="G20" s="28"/>
      <c r="H20" s="9"/>
    </row>
    <row r="21" spans="1:8">
      <c r="B21" s="29"/>
      <c r="F21" s="283"/>
      <c r="G21" s="30"/>
    </row>
    <row r="22" spans="1:8">
      <c r="B22" s="29"/>
      <c r="F22" s="283"/>
    </row>
    <row r="23" spans="1:8">
      <c r="B23" s="29"/>
      <c r="F23" s="283"/>
    </row>
    <row r="24" spans="1:8">
      <c r="B24" s="29"/>
      <c r="F24" s="283"/>
    </row>
    <row r="25" spans="1:8">
      <c r="B25" s="29"/>
      <c r="D25" s="31"/>
      <c r="F25" s="283"/>
    </row>
    <row r="26" spans="1:8">
      <c r="B26" s="29"/>
      <c r="F26" s="283"/>
    </row>
    <row r="27" spans="1:8">
      <c r="B27" s="29"/>
      <c r="F27" s="283"/>
    </row>
    <row r="28" spans="1:8">
      <c r="B28" s="29"/>
      <c r="F28" s="283"/>
    </row>
    <row r="29" spans="1:8">
      <c r="B29" s="29"/>
    </row>
    <row r="30" spans="1:8">
      <c r="B30" s="29"/>
    </row>
    <row r="31" spans="1:8">
      <c r="B31" s="29"/>
    </row>
    <row r="32" spans="1:8">
      <c r="B32" s="29"/>
    </row>
    <row r="33" spans="2:7">
      <c r="B33" s="29"/>
    </row>
    <row r="34" spans="2:7">
      <c r="B34" s="29"/>
    </row>
    <row r="35" spans="2:7">
      <c r="B35" s="29"/>
    </row>
    <row r="36" spans="2:7">
      <c r="B36" s="29"/>
    </row>
    <row r="37" spans="2:7">
      <c r="G37" s="30"/>
    </row>
    <row r="38" spans="2:7">
      <c r="G38" s="30"/>
    </row>
    <row r="39" spans="2:7">
      <c r="G39" s="30"/>
    </row>
    <row r="40" spans="2:7">
      <c r="G40" s="30"/>
    </row>
    <row r="41" spans="2:7">
      <c r="G41" s="30"/>
    </row>
    <row r="42" spans="2:7">
      <c r="G42" s="30"/>
    </row>
    <row r="43" spans="2:7">
      <c r="G43" s="30"/>
    </row>
    <row r="44" spans="2:7">
      <c r="G44" s="30"/>
    </row>
    <row r="45" spans="2:7">
      <c r="G45" s="30"/>
    </row>
    <row r="46" spans="2:7">
      <c r="G46" s="30"/>
    </row>
    <row r="47" spans="2:7">
      <c r="G47" s="30"/>
    </row>
    <row r="48" spans="2:7">
      <c r="G48" s="30"/>
    </row>
    <row r="49" spans="7:7">
      <c r="G49" s="30"/>
    </row>
    <row r="50" spans="7:7">
      <c r="G50" s="30"/>
    </row>
    <row r="51" spans="7:7">
      <c r="G51" s="30"/>
    </row>
    <row r="52" spans="7:7">
      <c r="G52" s="30"/>
    </row>
    <row r="53" spans="7:7">
      <c r="G53" s="30"/>
    </row>
    <row r="54" spans="7:7">
      <c r="G54" s="30"/>
    </row>
    <row r="55" spans="7:7">
      <c r="G55" s="30"/>
    </row>
    <row r="56" spans="7:7">
      <c r="G56" s="30"/>
    </row>
    <row r="57" spans="7:7">
      <c r="G57" s="30"/>
    </row>
    <row r="58" spans="7:7">
      <c r="G58" s="30"/>
    </row>
    <row r="59" spans="7:7">
      <c r="G59" s="30"/>
    </row>
    <row r="60" spans="7:7">
      <c r="G60" s="30"/>
    </row>
    <row r="61" spans="7:7">
      <c r="G61" s="30"/>
    </row>
  </sheetData>
  <mergeCells count="2">
    <mergeCell ref="A2:H2"/>
    <mergeCell ref="B5:G5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Precios&amp;R&amp;10Pág.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IO153"/>
  <sheetViews>
    <sheetView showGridLines="0" view="pageBreakPreview" topLeftCell="A31" zoomScale="106" zoomScaleNormal="100" zoomScaleSheetLayoutView="106" workbookViewId="0">
      <selection activeCell="U16" sqref="U16"/>
    </sheetView>
  </sheetViews>
  <sheetFormatPr baseColWidth="10" defaultColWidth="11" defaultRowHeight="13.5"/>
  <cols>
    <col min="1" max="1" width="3" style="32" customWidth="1"/>
    <col min="2" max="2" width="2.140625" style="32" customWidth="1"/>
    <col min="3" max="3" width="4" style="32" customWidth="1"/>
    <col min="4" max="5" width="12.140625" style="32" customWidth="1"/>
    <col min="6" max="6" width="14.28515625" style="32" customWidth="1"/>
    <col min="7" max="7" width="10.28515625" style="32" customWidth="1"/>
    <col min="8" max="8" width="8.140625" style="32" customWidth="1"/>
    <col min="9" max="9" width="10.140625" style="32" customWidth="1"/>
    <col min="10" max="10" width="11" style="32" customWidth="1"/>
    <col min="11" max="11" width="11.140625" style="32" customWidth="1"/>
    <col min="12" max="12" width="11.85546875" style="32" customWidth="1"/>
    <col min="13" max="14" width="11" style="32"/>
    <col min="15" max="15" width="11.85546875" style="32" customWidth="1"/>
    <col min="16" max="16384" width="11" style="32"/>
  </cols>
  <sheetData>
    <row r="1" spans="1:249" s="264" customFormat="1" ht="15">
      <c r="A1" s="5"/>
      <c r="B1" s="5"/>
      <c r="E1" s="7"/>
      <c r="G1" s="704"/>
      <c r="H1" s="8"/>
      <c r="I1" s="8"/>
    </row>
    <row r="2" spans="1:249" s="264" customFormat="1" ht="60.75" customHeight="1">
      <c r="B2" s="913" t="s">
        <v>354</v>
      </c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</row>
    <row r="3" spans="1:249" ht="24.95" customHeight="1">
      <c r="A3" s="383"/>
      <c r="B3" s="384"/>
      <c r="C3" s="385"/>
      <c r="D3" s="386"/>
      <c r="E3" s="385"/>
      <c r="F3" s="385"/>
      <c r="G3" s="384"/>
      <c r="H3" s="384"/>
      <c r="I3" s="384"/>
      <c r="J3" s="36"/>
      <c r="K3" s="36"/>
      <c r="L3" s="36"/>
      <c r="M3" s="36"/>
      <c r="N3" s="36"/>
      <c r="O3" s="36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</row>
    <row r="4" spans="1:249" ht="15.75" customHeight="1">
      <c r="A4" s="926" t="s">
        <v>13</v>
      </c>
      <c r="B4" s="926"/>
      <c r="C4" s="926"/>
      <c r="D4" s="926"/>
      <c r="E4" s="926"/>
      <c r="F4" s="926"/>
      <c r="G4" s="926"/>
      <c r="H4" s="926"/>
      <c r="I4" s="926"/>
      <c r="J4" s="387"/>
      <c r="K4" s="388"/>
      <c r="L4" s="388"/>
      <c r="M4" s="388"/>
      <c r="N4" s="388"/>
      <c r="O4" s="388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</row>
    <row r="5" spans="1:249" ht="20.25" customHeight="1" thickBot="1">
      <c r="A5" s="33"/>
      <c r="B5" s="34"/>
      <c r="C5" s="34"/>
      <c r="D5" s="34"/>
      <c r="E5" s="35"/>
      <c r="F5" s="34"/>
      <c r="G5" s="34"/>
      <c r="H5" s="34"/>
      <c r="I5" s="34"/>
      <c r="J5" s="34"/>
      <c r="K5" s="388"/>
      <c r="L5" s="388"/>
      <c r="M5" s="388"/>
      <c r="N5" s="388"/>
      <c r="O5" s="34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</row>
    <row r="6" spans="1:249" s="36" customFormat="1" ht="18" customHeight="1">
      <c r="A6" s="389" t="s">
        <v>14</v>
      </c>
      <c r="B6" s="390" t="s">
        <v>15</v>
      </c>
      <c r="C6" s="390"/>
      <c r="D6" s="390"/>
      <c r="E6" s="391"/>
      <c r="F6" s="390"/>
      <c r="G6" s="392">
        <v>0.05</v>
      </c>
      <c r="H6" s="34"/>
      <c r="I6" s="393"/>
      <c r="J6" s="929" t="s">
        <v>48</v>
      </c>
      <c r="K6" s="930"/>
      <c r="L6" s="931"/>
      <c r="M6" s="388"/>
      <c r="N6" s="388"/>
      <c r="O6" s="34"/>
    </row>
    <row r="7" spans="1:249" s="34" customFormat="1" ht="16.5" thickBot="1">
      <c r="A7" s="389" t="s">
        <v>16</v>
      </c>
      <c r="B7" s="390" t="s">
        <v>17</v>
      </c>
      <c r="C7" s="390"/>
      <c r="D7" s="390"/>
      <c r="E7" s="391"/>
      <c r="F7" s="390"/>
      <c r="G7" s="392">
        <v>6.2799999999999995E-2</v>
      </c>
      <c r="I7" s="393"/>
      <c r="J7" s="932" t="s">
        <v>49</v>
      </c>
      <c r="K7" s="933"/>
      <c r="L7" s="933"/>
      <c r="M7" s="388"/>
      <c r="N7" s="388"/>
    </row>
    <row r="8" spans="1:249" s="34" customFormat="1" ht="16.5" thickBot="1">
      <c r="A8" s="389" t="s">
        <v>18</v>
      </c>
      <c r="B8" s="390" t="s">
        <v>19</v>
      </c>
      <c r="C8" s="390"/>
      <c r="D8" s="390"/>
      <c r="E8" s="391"/>
      <c r="F8" s="390"/>
      <c r="G8" s="392">
        <v>2.93E-2</v>
      </c>
      <c r="I8" s="393"/>
      <c r="J8" s="394">
        <v>41244</v>
      </c>
      <c r="K8" s="934"/>
      <c r="L8" s="935"/>
      <c r="N8" s="388"/>
    </row>
    <row r="9" spans="1:249" s="34" customFormat="1" ht="15.75">
      <c r="A9" s="389" t="s">
        <v>20</v>
      </c>
      <c r="B9" s="390" t="s">
        <v>21</v>
      </c>
      <c r="C9" s="390"/>
      <c r="D9" s="390"/>
      <c r="E9" s="391"/>
      <c r="F9" s="390"/>
      <c r="G9" s="392">
        <v>4.1999999999999997E-3</v>
      </c>
      <c r="I9" s="393"/>
      <c r="J9" s="395"/>
      <c r="K9" s="936" t="s">
        <v>50</v>
      </c>
      <c r="L9" s="937"/>
      <c r="N9" s="388"/>
    </row>
    <row r="10" spans="1:249" s="34" customFormat="1" ht="16.5" thickBot="1">
      <c r="A10" s="389" t="s">
        <v>22</v>
      </c>
      <c r="B10" s="396" t="s">
        <v>23</v>
      </c>
      <c r="C10" s="396"/>
      <c r="D10" s="396"/>
      <c r="E10" s="397"/>
      <c r="F10" s="396"/>
      <c r="G10" s="392">
        <v>8.0999999999999996E-3</v>
      </c>
      <c r="I10" s="393"/>
      <c r="J10" s="398" t="s">
        <v>51</v>
      </c>
      <c r="K10" s="938" t="s">
        <v>52</v>
      </c>
      <c r="L10" s="939"/>
      <c r="N10" s="388"/>
    </row>
    <row r="11" spans="1:249" s="34" customFormat="1" ht="15">
      <c r="A11" s="389" t="s">
        <v>24</v>
      </c>
      <c r="B11" s="390" t="s">
        <v>25</v>
      </c>
      <c r="C11" s="390"/>
      <c r="D11" s="390"/>
      <c r="E11" s="391"/>
      <c r="F11" s="390"/>
      <c r="G11" s="392">
        <v>3.5099999999999999E-2</v>
      </c>
      <c r="I11" s="393"/>
      <c r="J11" s="399" t="s">
        <v>264</v>
      </c>
      <c r="K11" s="400">
        <v>20.079999999999998</v>
      </c>
      <c r="L11" s="401" t="s">
        <v>265</v>
      </c>
      <c r="N11" s="388"/>
    </row>
    <row r="12" spans="1:249" s="34" customFormat="1" ht="15">
      <c r="A12" s="389" t="s">
        <v>26</v>
      </c>
      <c r="B12" s="390" t="s">
        <v>27</v>
      </c>
      <c r="C12" s="390"/>
      <c r="D12" s="390"/>
      <c r="E12" s="391"/>
      <c r="F12" s="390"/>
      <c r="G12" s="392">
        <v>0.1134</v>
      </c>
      <c r="I12" s="393"/>
      <c r="J12" s="402" t="s">
        <v>53</v>
      </c>
      <c r="K12" s="403">
        <v>17.11</v>
      </c>
      <c r="L12" s="404" t="s">
        <v>265</v>
      </c>
      <c r="N12" s="388"/>
    </row>
    <row r="13" spans="1:249" s="34" customFormat="1" ht="15">
      <c r="A13" s="389" t="s">
        <v>28</v>
      </c>
      <c r="B13" s="390" t="s">
        <v>29</v>
      </c>
      <c r="C13" s="390"/>
      <c r="D13" s="390"/>
      <c r="E13" s="391"/>
      <c r="F13" s="390"/>
      <c r="G13" s="392">
        <v>0.3392</v>
      </c>
      <c r="I13" s="393"/>
      <c r="J13" s="402" t="s">
        <v>266</v>
      </c>
      <c r="K13" s="403">
        <v>15.76</v>
      </c>
      <c r="L13" s="404" t="s">
        <v>265</v>
      </c>
      <c r="N13" s="388"/>
    </row>
    <row r="14" spans="1:249" s="34" customFormat="1" ht="15">
      <c r="A14" s="389" t="s">
        <v>30</v>
      </c>
      <c r="B14" s="390" t="s">
        <v>31</v>
      </c>
      <c r="C14" s="390"/>
      <c r="D14" s="390"/>
      <c r="E14" s="391"/>
      <c r="F14" s="390"/>
      <c r="G14" s="392">
        <v>8.9999999999999998E-4</v>
      </c>
      <c r="I14" s="393"/>
      <c r="J14" s="402" t="s">
        <v>55</v>
      </c>
      <c r="K14" s="403">
        <v>14.48</v>
      </c>
      <c r="L14" s="404" t="s">
        <v>265</v>
      </c>
      <c r="N14" s="388"/>
    </row>
    <row r="15" spans="1:249" s="34" customFormat="1" ht="15.75" thickBot="1">
      <c r="A15" s="389" t="s">
        <v>32</v>
      </c>
      <c r="B15" s="396" t="s">
        <v>33</v>
      </c>
      <c r="C15" s="396"/>
      <c r="D15" s="396"/>
      <c r="E15" s="397"/>
      <c r="F15" s="396"/>
      <c r="G15" s="392">
        <v>0.16059999999999999</v>
      </c>
      <c r="I15" s="393"/>
      <c r="J15" s="405" t="s">
        <v>56</v>
      </c>
      <c r="K15" s="406">
        <v>2634</v>
      </c>
      <c r="L15" s="407" t="s">
        <v>267</v>
      </c>
      <c r="N15" s="388"/>
    </row>
    <row r="16" spans="1:249" s="34" customFormat="1" ht="15">
      <c r="A16" s="389" t="s">
        <v>34</v>
      </c>
      <c r="B16" s="396" t="s">
        <v>35</v>
      </c>
      <c r="C16" s="396"/>
      <c r="D16" s="396"/>
      <c r="E16" s="397"/>
      <c r="F16" s="396"/>
      <c r="G16" s="392">
        <v>1.6000000000000001E-3</v>
      </c>
      <c r="I16" s="393"/>
      <c r="J16" s="408"/>
      <c r="N16" s="388"/>
    </row>
    <row r="17" spans="1:15" s="34" customFormat="1" ht="15">
      <c r="A17" s="389" t="s">
        <v>36</v>
      </c>
      <c r="B17" s="396" t="s">
        <v>37</v>
      </c>
      <c r="C17" s="396"/>
      <c r="D17" s="396"/>
      <c r="E17" s="397"/>
      <c r="F17" s="396"/>
      <c r="G17" s="392">
        <v>3.2000000000000002E-3</v>
      </c>
      <c r="I17" s="34" t="s">
        <v>268</v>
      </c>
      <c r="J17" s="408"/>
      <c r="N17" s="388"/>
    </row>
    <row r="18" spans="1:15" s="34" customFormat="1" ht="15">
      <c r="A18" s="389" t="s">
        <v>38</v>
      </c>
      <c r="B18" s="396" t="s">
        <v>39</v>
      </c>
      <c r="C18" s="396"/>
      <c r="D18" s="396"/>
      <c r="E18" s="397"/>
      <c r="F18" s="396"/>
      <c r="G18" s="392">
        <v>1.6000000000000001E-3</v>
      </c>
      <c r="I18" s="34" t="s">
        <v>61</v>
      </c>
      <c r="J18" s="408"/>
      <c r="K18" s="408"/>
      <c r="L18" s="408"/>
      <c r="M18" s="408"/>
      <c r="N18" s="408"/>
    </row>
    <row r="19" spans="1:15" s="34" customFormat="1" ht="15">
      <c r="A19" s="389" t="s">
        <v>40</v>
      </c>
      <c r="B19" s="396" t="s">
        <v>41</v>
      </c>
      <c r="C19" s="396"/>
      <c r="D19" s="396"/>
      <c r="E19" s="397"/>
      <c r="F19" s="396"/>
      <c r="G19" s="392">
        <v>0.2</v>
      </c>
      <c r="I19" s="34" t="s">
        <v>62</v>
      </c>
      <c r="J19" s="408"/>
      <c r="K19" s="408"/>
      <c r="L19" s="408"/>
      <c r="M19" s="408"/>
      <c r="N19" s="408"/>
    </row>
    <row r="20" spans="1:15" s="34" customFormat="1" ht="15">
      <c r="A20" s="34" t="s">
        <v>42</v>
      </c>
      <c r="B20" s="390" t="s">
        <v>43</v>
      </c>
      <c r="C20" s="390"/>
      <c r="D20" s="390"/>
      <c r="E20" s="391"/>
      <c r="F20" s="390"/>
      <c r="G20" s="392">
        <v>1.5E-3</v>
      </c>
      <c r="I20" s="393"/>
      <c r="J20" s="388"/>
      <c r="K20" s="388"/>
      <c r="L20" s="388"/>
      <c r="M20" s="388"/>
      <c r="N20" s="388"/>
      <c r="O20" s="409"/>
    </row>
    <row r="21" spans="1:15" s="34" customFormat="1" ht="15">
      <c r="A21" s="37" t="s">
        <v>44</v>
      </c>
      <c r="B21" s="52" t="s">
        <v>45</v>
      </c>
      <c r="C21" s="52"/>
      <c r="D21" s="52"/>
      <c r="E21" s="410"/>
      <c r="F21" s="52"/>
      <c r="G21" s="392">
        <v>9.4299999999999995E-2</v>
      </c>
      <c r="I21" s="393"/>
      <c r="J21" s="411" t="s">
        <v>269</v>
      </c>
      <c r="K21" s="388"/>
      <c r="L21" s="388"/>
      <c r="M21" s="388"/>
      <c r="N21" s="388"/>
      <c r="O21" s="393"/>
    </row>
    <row r="22" spans="1:15" s="34" customFormat="1" ht="15">
      <c r="A22" s="412" t="s">
        <v>46</v>
      </c>
      <c r="B22" s="46"/>
      <c r="C22" s="46"/>
      <c r="D22" s="46"/>
      <c r="E22" s="47"/>
      <c r="F22" s="46"/>
      <c r="G22" s="413">
        <f>SUM(G6:G21)</f>
        <v>1.1058000000000001</v>
      </c>
      <c r="I22" s="388"/>
      <c r="J22" s="414" t="s">
        <v>57</v>
      </c>
      <c r="K22" s="388"/>
      <c r="L22" s="388"/>
      <c r="M22" s="388" t="s">
        <v>58</v>
      </c>
      <c r="N22" s="388" t="s">
        <v>270</v>
      </c>
      <c r="O22" s="388"/>
    </row>
    <row r="23" spans="1:15" s="34" customFormat="1" ht="15">
      <c r="A23" s="37"/>
      <c r="E23" s="35"/>
      <c r="J23" s="414" t="s">
        <v>59</v>
      </c>
      <c r="K23" s="388"/>
      <c r="L23" s="388"/>
      <c r="M23" s="388" t="s">
        <v>58</v>
      </c>
      <c r="N23" s="388" t="s">
        <v>271</v>
      </c>
      <c r="O23" s="388"/>
    </row>
    <row r="24" spans="1:15" s="34" customFormat="1" ht="15">
      <c r="A24" s="37"/>
      <c r="E24" s="35"/>
      <c r="J24" s="414" t="s">
        <v>60</v>
      </c>
      <c r="K24" s="388"/>
      <c r="L24" s="388"/>
      <c r="M24" s="388" t="s">
        <v>58</v>
      </c>
      <c r="N24" s="388" t="s">
        <v>270</v>
      </c>
      <c r="O24" s="388"/>
    </row>
    <row r="25" spans="1:15" s="34" customFormat="1" ht="15">
      <c r="A25" s="37"/>
      <c r="E25" s="35"/>
      <c r="K25" s="388"/>
      <c r="L25" s="388"/>
      <c r="M25" s="388"/>
      <c r="N25" s="388"/>
      <c r="O25" s="388"/>
    </row>
    <row r="26" spans="1:15" s="34" customFormat="1" ht="47.25" customHeight="1">
      <c r="B26" s="913" t="s">
        <v>354</v>
      </c>
      <c r="C26" s="913"/>
      <c r="D26" s="913"/>
      <c r="E26" s="913"/>
      <c r="F26" s="913"/>
      <c r="G26" s="913"/>
      <c r="H26" s="913"/>
      <c r="I26" s="913"/>
      <c r="J26" s="913"/>
      <c r="K26" s="913"/>
      <c r="L26" s="913"/>
      <c r="M26" s="913"/>
      <c r="N26" s="913"/>
      <c r="O26" s="388"/>
    </row>
    <row r="27" spans="1:15" s="34" customFormat="1" ht="15">
      <c r="M27" s="388"/>
      <c r="N27" s="388"/>
      <c r="O27" s="388"/>
    </row>
    <row r="28" spans="1:15" s="34" customFormat="1" ht="15"/>
    <row r="29" spans="1:15" s="34" customFormat="1" ht="15"/>
    <row r="30" spans="1:15" s="34" customFormat="1" ht="15">
      <c r="E30" s="38" t="s">
        <v>47</v>
      </c>
    </row>
    <row r="31" spans="1:15" s="34" customFormat="1" ht="15">
      <c r="E31" s="38"/>
    </row>
    <row r="32" spans="1:15" s="34" customFormat="1" ht="15">
      <c r="B32" s="37" t="s">
        <v>272</v>
      </c>
    </row>
    <row r="33" spans="1:15" s="34" customFormat="1" ht="15">
      <c r="A33" s="32"/>
      <c r="B33" s="37" t="s">
        <v>273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</row>
    <row r="34" spans="1:15" s="34" customFormat="1" ht="15">
      <c r="A34" s="37"/>
      <c r="E34" s="35"/>
    </row>
    <row r="35" spans="1:15" s="34" customFormat="1" ht="15">
      <c r="A35" s="37"/>
      <c r="E35" s="35"/>
    </row>
    <row r="36" spans="1:15" s="34" customFormat="1" ht="15">
      <c r="K36" s="52"/>
      <c r="L36" s="52"/>
      <c r="M36" s="52"/>
      <c r="N36" s="52"/>
      <c r="O36" s="52"/>
    </row>
    <row r="37" spans="1:15" s="34" customFormat="1" ht="15.75">
      <c r="A37" s="927" t="s">
        <v>274</v>
      </c>
      <c r="B37" s="927"/>
      <c r="C37" s="927"/>
      <c r="D37" s="927"/>
      <c r="E37" s="927"/>
      <c r="F37" s="927"/>
      <c r="G37" s="927"/>
      <c r="H37" s="927"/>
      <c r="I37" s="927"/>
      <c r="K37" s="53"/>
      <c r="L37" s="53"/>
      <c r="M37" s="53"/>
      <c r="N37" s="53"/>
      <c r="O37" s="53"/>
    </row>
    <row r="38" spans="1:15" s="34" customFormat="1" ht="15">
      <c r="K38" s="53"/>
      <c r="L38" s="53"/>
      <c r="M38" s="53"/>
      <c r="N38" s="53"/>
      <c r="O38" s="53"/>
    </row>
    <row r="39" spans="1:15" s="34" customFormat="1" ht="15.75">
      <c r="B39" s="54"/>
      <c r="F39" s="55"/>
      <c r="G39" s="56"/>
    </row>
    <row r="40" spans="1:15" s="34" customFormat="1" ht="25.5">
      <c r="F40" s="415" t="s">
        <v>68</v>
      </c>
      <c r="G40" s="415" t="s">
        <v>53</v>
      </c>
      <c r="H40" s="415" t="s">
        <v>54</v>
      </c>
      <c r="I40" s="415" t="s">
        <v>55</v>
      </c>
      <c r="J40" s="415" t="s">
        <v>69</v>
      </c>
      <c r="K40" s="429"/>
    </row>
    <row r="41" spans="1:15" s="34" customFormat="1" ht="15">
      <c r="B41" s="928" t="s">
        <v>70</v>
      </c>
      <c r="C41" s="928"/>
      <c r="D41" s="928"/>
      <c r="E41" s="416" t="s">
        <v>71</v>
      </c>
      <c r="F41" s="417">
        <f>+$I$55</f>
        <v>160.63999999999999</v>
      </c>
      <c r="G41" s="418">
        <f>+$I$56</f>
        <v>136.88</v>
      </c>
      <c r="H41" s="418">
        <f>+$I$57</f>
        <v>126.08</v>
      </c>
      <c r="I41" s="418">
        <f>+$I$58</f>
        <v>115.84</v>
      </c>
      <c r="J41" s="418">
        <f>F41</f>
        <v>160.63999999999999</v>
      </c>
      <c r="K41" s="431"/>
    </row>
    <row r="42" spans="1:15" s="34" customFormat="1" ht="15">
      <c r="B42" s="928" t="s">
        <v>72</v>
      </c>
      <c r="C42" s="928"/>
      <c r="D42" s="928"/>
      <c r="E42" s="419">
        <f>+$G$22</f>
        <v>1.1058000000000001</v>
      </c>
      <c r="F42" s="417">
        <f t="shared" ref="F42:J42" si="0">$E$42*F41</f>
        <v>177.63571200000001</v>
      </c>
      <c r="G42" s="418">
        <f t="shared" si="0"/>
        <v>151.36190400000001</v>
      </c>
      <c r="H42" s="418">
        <f t="shared" si="0"/>
        <v>139.41926400000003</v>
      </c>
      <c r="I42" s="418">
        <f t="shared" si="0"/>
        <v>128.09587200000001</v>
      </c>
      <c r="J42" s="418">
        <f t="shared" si="0"/>
        <v>177.63571200000001</v>
      </c>
      <c r="K42" s="431"/>
    </row>
    <row r="43" spans="1:15" s="34" customFormat="1" ht="15">
      <c r="B43" s="940" t="s">
        <v>275</v>
      </c>
      <c r="C43" s="941"/>
      <c r="D43" s="942"/>
      <c r="E43" s="420">
        <v>0.15</v>
      </c>
      <c r="F43" s="417">
        <f t="shared" ref="F43:J43" si="1">F41*$E$43</f>
        <v>24.095999999999997</v>
      </c>
      <c r="G43" s="418">
        <f t="shared" si="1"/>
        <v>20.532</v>
      </c>
      <c r="H43" s="418">
        <f t="shared" si="1"/>
        <v>18.911999999999999</v>
      </c>
      <c r="I43" s="418">
        <f t="shared" si="1"/>
        <v>17.376000000000001</v>
      </c>
      <c r="J43" s="418">
        <f t="shared" si="1"/>
        <v>24.095999999999997</v>
      </c>
      <c r="K43" s="430"/>
    </row>
    <row r="44" spans="1:15" s="34" customFormat="1" ht="15">
      <c r="B44" s="940" t="s">
        <v>73</v>
      </c>
      <c r="C44" s="941"/>
      <c r="D44" s="942"/>
      <c r="E44" s="420">
        <v>0.1</v>
      </c>
      <c r="F44" s="421">
        <f t="shared" ref="F44:J44" si="2">F41*$E$44</f>
        <v>16.064</v>
      </c>
      <c r="G44" s="421">
        <f t="shared" si="2"/>
        <v>13.688000000000001</v>
      </c>
      <c r="H44" s="421">
        <f t="shared" si="2"/>
        <v>12.608000000000001</v>
      </c>
      <c r="I44" s="421">
        <f t="shared" si="2"/>
        <v>11.584000000000001</v>
      </c>
      <c r="J44" s="421">
        <f t="shared" si="2"/>
        <v>16.064</v>
      </c>
      <c r="K44" s="432"/>
    </row>
    <row r="45" spans="1:15" s="34" customFormat="1" ht="15">
      <c r="B45" s="943" t="s">
        <v>276</v>
      </c>
      <c r="C45" s="944"/>
      <c r="D45" s="945"/>
      <c r="E45" s="419"/>
      <c r="F45" s="421">
        <f t="shared" ref="F45:J45" si="3">SUM(F41:F44)</f>
        <v>378.43571200000002</v>
      </c>
      <c r="G45" s="421">
        <f t="shared" si="3"/>
        <v>322.46190399999995</v>
      </c>
      <c r="H45" s="421">
        <f t="shared" si="3"/>
        <v>297.01926400000002</v>
      </c>
      <c r="I45" s="421">
        <f t="shared" si="3"/>
        <v>272.895872</v>
      </c>
      <c r="J45" s="421">
        <f t="shared" si="3"/>
        <v>378.43571200000002</v>
      </c>
      <c r="K45" s="432"/>
    </row>
    <row r="46" spans="1:15" s="34" customFormat="1" ht="15">
      <c r="B46" s="928" t="s">
        <v>74</v>
      </c>
      <c r="C46" s="928"/>
      <c r="D46" s="928"/>
      <c r="E46" s="422">
        <v>0.05</v>
      </c>
      <c r="F46" s="417">
        <f>F45*$E$46</f>
        <v>18.921785600000003</v>
      </c>
      <c r="G46" s="418">
        <f t="shared" ref="G46:J46" si="4">G45*$E$46</f>
        <v>16.123095199999998</v>
      </c>
      <c r="H46" s="418">
        <f t="shared" si="4"/>
        <v>14.850963200000002</v>
      </c>
      <c r="I46" s="418">
        <f t="shared" si="4"/>
        <v>13.6447936</v>
      </c>
      <c r="J46" s="418">
        <f t="shared" si="4"/>
        <v>18.921785600000003</v>
      </c>
      <c r="K46" s="431"/>
    </row>
    <row r="47" spans="1:15" s="34" customFormat="1" ht="15">
      <c r="B47" s="946" t="s">
        <v>75</v>
      </c>
      <c r="C47" s="946"/>
      <c r="D47" s="946"/>
      <c r="E47" s="416" t="s">
        <v>71</v>
      </c>
      <c r="F47" s="423">
        <f t="shared" ref="F47:J47" si="5">TRUNC((F45+F46)*100+0.9)/100</f>
        <v>397.36</v>
      </c>
      <c r="G47" s="423">
        <f t="shared" si="5"/>
        <v>338.59</v>
      </c>
      <c r="H47" s="423">
        <f t="shared" si="5"/>
        <v>311.87</v>
      </c>
      <c r="I47" s="423">
        <f t="shared" si="5"/>
        <v>286.54000000000002</v>
      </c>
      <c r="J47" s="423">
        <f t="shared" si="5"/>
        <v>397.36</v>
      </c>
      <c r="K47" s="433"/>
    </row>
    <row r="48" spans="1:15" s="34" customFormat="1" ht="15">
      <c r="B48" s="946"/>
      <c r="C48" s="946"/>
      <c r="D48" s="946"/>
      <c r="E48" s="416" t="s">
        <v>76</v>
      </c>
      <c r="F48" s="423">
        <f>F47/8</f>
        <v>49.67</v>
      </c>
      <c r="G48" s="423">
        <f t="shared" ref="G48:J48" si="6">G47/8</f>
        <v>42.323749999999997</v>
      </c>
      <c r="H48" s="423">
        <f t="shared" si="6"/>
        <v>38.983750000000001</v>
      </c>
      <c r="I48" s="423">
        <f t="shared" si="6"/>
        <v>35.817500000000003</v>
      </c>
      <c r="J48" s="423">
        <f t="shared" si="6"/>
        <v>49.67</v>
      </c>
      <c r="K48" s="433"/>
    </row>
    <row r="49" spans="1:10" s="34" customFormat="1" ht="15">
      <c r="A49" s="37"/>
      <c r="E49" s="35"/>
    </row>
    <row r="50" spans="1:10" s="34" customFormat="1" ht="15">
      <c r="A50" s="37"/>
      <c r="E50" s="35"/>
      <c r="F50" s="424"/>
    </row>
    <row r="51" spans="1:10" s="34" customFormat="1" ht="15">
      <c r="A51" s="37"/>
      <c r="E51" s="35"/>
      <c r="F51" s="425"/>
    </row>
    <row r="52" spans="1:10" s="34" customFormat="1" ht="15">
      <c r="A52" s="37" t="s">
        <v>277</v>
      </c>
      <c r="E52" s="35"/>
    </row>
    <row r="53" spans="1:10" s="34" customFormat="1" ht="15">
      <c r="A53" s="426" t="s">
        <v>278</v>
      </c>
      <c r="E53" s="35"/>
    </row>
    <row r="54" spans="1:10" s="34" customFormat="1" ht="15.75" thickBot="1">
      <c r="A54" s="37"/>
      <c r="E54" s="35"/>
    </row>
    <row r="55" spans="1:10" s="34" customFormat="1" ht="15">
      <c r="A55" s="41" t="s">
        <v>63</v>
      </c>
      <c r="B55" s="42"/>
      <c r="C55" s="42"/>
      <c r="D55" s="42"/>
      <c r="E55" s="43"/>
      <c r="F55" s="42"/>
      <c r="G55" s="42"/>
      <c r="H55" s="42"/>
      <c r="I55" s="44">
        <f>K11*8+($J$19/22)</f>
        <v>160.63999999999999</v>
      </c>
      <c r="J55" s="427"/>
    </row>
    <row r="56" spans="1:10" s="34" customFormat="1" ht="15">
      <c r="A56" s="45" t="s">
        <v>64</v>
      </c>
      <c r="B56" s="46"/>
      <c r="C56" s="46"/>
      <c r="D56" s="46"/>
      <c r="E56" s="47"/>
      <c r="F56" s="46"/>
      <c r="G56" s="46"/>
      <c r="H56" s="46"/>
      <c r="I56" s="48">
        <f>K12*8+($J$19/22)</f>
        <v>136.88</v>
      </c>
    </row>
    <row r="57" spans="1:10" s="34" customFormat="1" ht="15">
      <c r="A57" s="45" t="s">
        <v>65</v>
      </c>
      <c r="B57" s="46"/>
      <c r="C57" s="46"/>
      <c r="D57" s="46"/>
      <c r="E57" s="47"/>
      <c r="F57" s="46"/>
      <c r="G57" s="46"/>
      <c r="H57" s="46"/>
      <c r="I57" s="48">
        <f>K13*8+($J$19/22)</f>
        <v>126.08</v>
      </c>
    </row>
    <row r="58" spans="1:10" s="34" customFormat="1" ht="15">
      <c r="A58" s="45" t="s">
        <v>66</v>
      </c>
      <c r="B58" s="46"/>
      <c r="C58" s="46"/>
      <c r="D58" s="46"/>
      <c r="E58" s="47"/>
      <c r="F58" s="46"/>
      <c r="G58" s="46"/>
      <c r="H58" s="46"/>
      <c r="I58" s="48">
        <f>K14*8+($J$19/22)</f>
        <v>115.84</v>
      </c>
    </row>
    <row r="59" spans="1:10" s="34" customFormat="1" ht="15.75" thickBot="1">
      <c r="A59" s="49" t="s">
        <v>67</v>
      </c>
      <c r="B59" s="50"/>
      <c r="C59" s="50"/>
      <c r="D59" s="50"/>
      <c r="E59" s="51"/>
      <c r="F59" s="50"/>
      <c r="G59" s="50"/>
      <c r="H59" s="50"/>
      <c r="I59" s="428">
        <f>K15+$J$19</f>
        <v>2634</v>
      </c>
    </row>
    <row r="60" spans="1:10" s="34" customFormat="1" ht="15">
      <c r="J60" s="52"/>
    </row>
    <row r="61" spans="1:10" s="34" customFormat="1" ht="15">
      <c r="A61" s="37"/>
      <c r="E61" s="35"/>
    </row>
    <row r="62" spans="1:10">
      <c r="A62" s="39"/>
      <c r="B62" s="40"/>
      <c r="C62" s="40"/>
      <c r="D62" s="40"/>
      <c r="E62" s="57"/>
      <c r="F62" s="40"/>
      <c r="G62" s="40"/>
      <c r="H62" s="40"/>
      <c r="I62" s="40"/>
    </row>
    <row r="63" spans="1:10">
      <c r="A63" s="39"/>
      <c r="B63" s="40"/>
      <c r="C63" s="40"/>
      <c r="D63" s="40"/>
      <c r="E63" s="57"/>
      <c r="F63" s="40"/>
      <c r="G63" s="40"/>
      <c r="H63" s="40"/>
      <c r="I63" s="40"/>
    </row>
    <row r="64" spans="1:10">
      <c r="A64" s="39"/>
      <c r="B64" s="40"/>
      <c r="C64" s="40"/>
      <c r="D64" s="40"/>
      <c r="E64" s="57"/>
      <c r="F64" s="40"/>
      <c r="G64" s="40"/>
      <c r="H64" s="40"/>
      <c r="I64" s="40"/>
    </row>
    <row r="65" spans="1:9">
      <c r="A65" s="39"/>
      <c r="B65" s="40"/>
      <c r="C65" s="40"/>
      <c r="D65" s="40"/>
      <c r="E65" s="57"/>
      <c r="F65" s="40"/>
      <c r="G65" s="40"/>
      <c r="H65" s="40"/>
      <c r="I65" s="40"/>
    </row>
    <row r="66" spans="1:9">
      <c r="A66" s="39"/>
      <c r="B66" s="40"/>
      <c r="C66" s="40"/>
      <c r="D66" s="40"/>
      <c r="E66" s="57"/>
      <c r="F66" s="40"/>
      <c r="G66" s="40"/>
      <c r="H66" s="40"/>
      <c r="I66" s="40"/>
    </row>
    <row r="67" spans="1:9">
      <c r="A67" s="39"/>
      <c r="B67" s="40"/>
      <c r="C67" s="40"/>
      <c r="D67" s="40"/>
      <c r="E67" s="57"/>
      <c r="F67" s="40"/>
      <c r="G67" s="40"/>
      <c r="H67" s="40"/>
      <c r="I67" s="40"/>
    </row>
    <row r="68" spans="1:9">
      <c r="A68" s="39"/>
      <c r="B68" s="40"/>
      <c r="C68" s="40"/>
      <c r="D68" s="40"/>
      <c r="E68" s="57"/>
      <c r="F68" s="40"/>
      <c r="G68" s="40"/>
      <c r="H68" s="40"/>
      <c r="I68" s="40"/>
    </row>
    <row r="69" spans="1:9">
      <c r="A69" s="39"/>
      <c r="B69" s="40"/>
      <c r="C69" s="40"/>
      <c r="D69" s="40"/>
      <c r="E69" s="57"/>
      <c r="F69" s="40"/>
      <c r="G69" s="40"/>
      <c r="H69" s="40"/>
      <c r="I69" s="40"/>
    </row>
    <row r="70" spans="1:9">
      <c r="A70" s="39"/>
      <c r="B70" s="40"/>
      <c r="C70" s="40"/>
      <c r="D70" s="40"/>
      <c r="E70" s="57"/>
      <c r="F70" s="40"/>
      <c r="G70" s="40"/>
      <c r="H70" s="40"/>
      <c r="I70" s="40"/>
    </row>
    <row r="71" spans="1:9">
      <c r="A71" s="39"/>
      <c r="B71" s="40"/>
      <c r="C71" s="40"/>
      <c r="D71" s="40"/>
      <c r="E71" s="57"/>
      <c r="F71" s="40"/>
      <c r="G71" s="40"/>
      <c r="H71" s="40"/>
      <c r="I71" s="40"/>
    </row>
    <row r="72" spans="1:9">
      <c r="A72" s="39"/>
      <c r="B72" s="40"/>
      <c r="C72" s="40"/>
      <c r="D72" s="40"/>
      <c r="E72" s="57"/>
      <c r="F72" s="40"/>
      <c r="G72" s="40"/>
      <c r="H72" s="40"/>
      <c r="I72" s="40"/>
    </row>
    <row r="73" spans="1:9">
      <c r="A73" s="39"/>
      <c r="B73" s="40"/>
      <c r="C73" s="40"/>
      <c r="D73" s="40"/>
      <c r="E73" s="57"/>
      <c r="F73" s="40"/>
      <c r="G73" s="40"/>
      <c r="H73" s="40"/>
      <c r="I73" s="40"/>
    </row>
    <row r="74" spans="1:9">
      <c r="A74" s="39"/>
      <c r="B74" s="40"/>
      <c r="C74" s="40"/>
      <c r="D74" s="40"/>
      <c r="E74" s="57"/>
      <c r="F74" s="40"/>
      <c r="G74" s="40"/>
      <c r="H74" s="40"/>
      <c r="I74" s="40"/>
    </row>
    <row r="75" spans="1:9">
      <c r="A75" s="39"/>
      <c r="B75" s="40"/>
      <c r="C75" s="40"/>
      <c r="D75" s="40"/>
      <c r="E75" s="57"/>
      <c r="F75" s="40"/>
      <c r="G75" s="40"/>
      <c r="H75" s="40"/>
      <c r="I75" s="40"/>
    </row>
    <row r="76" spans="1:9">
      <c r="A76" s="39"/>
      <c r="B76" s="40"/>
      <c r="C76" s="40"/>
      <c r="D76" s="40"/>
      <c r="E76" s="57"/>
      <c r="F76" s="40"/>
      <c r="G76" s="40"/>
      <c r="H76" s="40"/>
      <c r="I76" s="40"/>
    </row>
    <row r="77" spans="1:9">
      <c r="A77" s="39"/>
      <c r="B77" s="40"/>
      <c r="C77" s="40"/>
      <c r="D77" s="40"/>
      <c r="E77" s="57"/>
      <c r="F77" s="40"/>
      <c r="G77" s="40"/>
      <c r="H77" s="40"/>
      <c r="I77" s="40"/>
    </row>
    <row r="78" spans="1:9">
      <c r="A78" s="39"/>
      <c r="B78" s="40"/>
      <c r="C78" s="40"/>
      <c r="D78" s="40"/>
      <c r="E78" s="57"/>
      <c r="F78" s="40"/>
      <c r="G78" s="40"/>
      <c r="H78" s="40"/>
      <c r="I78" s="40"/>
    </row>
    <row r="79" spans="1:9">
      <c r="A79" s="39"/>
      <c r="B79" s="40"/>
      <c r="C79" s="40"/>
      <c r="D79" s="40"/>
      <c r="E79" s="57"/>
      <c r="F79" s="40"/>
      <c r="G79" s="40"/>
      <c r="H79" s="40"/>
      <c r="I79" s="40"/>
    </row>
    <row r="80" spans="1:9">
      <c r="A80" s="39"/>
      <c r="B80" s="40"/>
      <c r="C80" s="40"/>
      <c r="D80" s="40"/>
      <c r="E80" s="57"/>
      <c r="F80" s="40"/>
      <c r="G80" s="40"/>
      <c r="H80" s="40"/>
      <c r="I80" s="40"/>
    </row>
    <row r="81" spans="1:9">
      <c r="A81" s="39"/>
      <c r="B81" s="40"/>
      <c r="C81" s="40"/>
      <c r="D81" s="40"/>
      <c r="E81" s="57"/>
      <c r="F81" s="40"/>
      <c r="G81" s="40"/>
      <c r="H81" s="40"/>
      <c r="I81" s="40"/>
    </row>
    <row r="82" spans="1:9">
      <c r="A82" s="39"/>
      <c r="B82" s="40"/>
      <c r="C82" s="40"/>
      <c r="D82" s="40"/>
      <c r="E82" s="57"/>
      <c r="F82" s="40"/>
      <c r="G82" s="40"/>
      <c r="H82" s="40"/>
      <c r="I82" s="40"/>
    </row>
    <row r="83" spans="1:9">
      <c r="A83" s="39"/>
      <c r="B83" s="40"/>
      <c r="C83" s="40"/>
      <c r="D83" s="40"/>
      <c r="E83" s="57"/>
      <c r="F83" s="40"/>
      <c r="G83" s="40"/>
      <c r="H83" s="40"/>
      <c r="I83" s="40"/>
    </row>
    <row r="84" spans="1:9">
      <c r="A84" s="39"/>
      <c r="B84" s="40"/>
      <c r="C84" s="40"/>
      <c r="D84" s="40"/>
      <c r="E84" s="57"/>
      <c r="F84" s="40"/>
      <c r="G84" s="40"/>
      <c r="H84" s="40"/>
      <c r="I84" s="40"/>
    </row>
    <row r="85" spans="1:9">
      <c r="A85" s="39"/>
      <c r="B85" s="40"/>
      <c r="C85" s="40"/>
      <c r="D85" s="40"/>
      <c r="E85" s="57"/>
      <c r="F85" s="40"/>
      <c r="G85" s="40"/>
      <c r="H85" s="40"/>
      <c r="I85" s="40"/>
    </row>
    <row r="86" spans="1:9">
      <c r="A86" s="39"/>
      <c r="B86" s="40"/>
      <c r="C86" s="40"/>
      <c r="D86" s="40"/>
      <c r="E86" s="57"/>
      <c r="F86" s="40"/>
      <c r="G86" s="40"/>
      <c r="H86" s="40"/>
      <c r="I86" s="40"/>
    </row>
    <row r="87" spans="1:9">
      <c r="A87" s="39"/>
      <c r="B87" s="40"/>
      <c r="C87" s="40"/>
      <c r="D87" s="40"/>
      <c r="E87" s="57"/>
      <c r="F87" s="40"/>
      <c r="G87" s="40"/>
      <c r="H87" s="40"/>
      <c r="I87" s="40"/>
    </row>
    <row r="88" spans="1:9">
      <c r="A88" s="39"/>
      <c r="B88" s="40"/>
      <c r="C88" s="40"/>
      <c r="D88" s="40"/>
      <c r="E88" s="57"/>
      <c r="F88" s="40"/>
      <c r="G88" s="40"/>
      <c r="H88" s="40"/>
      <c r="I88" s="40"/>
    </row>
    <row r="89" spans="1:9">
      <c r="A89" s="39"/>
      <c r="B89" s="40"/>
      <c r="C89" s="40"/>
      <c r="D89" s="40"/>
      <c r="E89" s="57"/>
      <c r="F89" s="40"/>
      <c r="G89" s="40"/>
      <c r="H89" s="40"/>
      <c r="I89" s="40"/>
    </row>
    <row r="90" spans="1:9">
      <c r="A90" s="39"/>
      <c r="B90" s="40"/>
      <c r="C90" s="40"/>
      <c r="D90" s="40"/>
      <c r="E90" s="57"/>
      <c r="F90" s="40"/>
      <c r="G90" s="40"/>
      <c r="H90" s="40"/>
      <c r="I90" s="40"/>
    </row>
    <row r="91" spans="1:9">
      <c r="A91" s="39"/>
      <c r="B91" s="40"/>
      <c r="C91" s="40"/>
      <c r="D91" s="40"/>
      <c r="E91" s="57"/>
      <c r="F91" s="40"/>
      <c r="G91" s="40"/>
      <c r="H91" s="40"/>
      <c r="I91" s="40"/>
    </row>
    <row r="92" spans="1:9">
      <c r="A92" s="39"/>
      <c r="B92" s="40"/>
      <c r="C92" s="40"/>
      <c r="D92" s="40"/>
      <c r="E92" s="57"/>
      <c r="F92" s="40"/>
      <c r="G92" s="40"/>
      <c r="H92" s="40"/>
      <c r="I92" s="40"/>
    </row>
    <row r="93" spans="1:9">
      <c r="A93" s="39"/>
      <c r="B93" s="40"/>
      <c r="C93" s="40"/>
      <c r="D93" s="40"/>
      <c r="E93" s="57"/>
      <c r="F93" s="40"/>
      <c r="G93" s="40"/>
      <c r="H93" s="40"/>
      <c r="I93" s="40"/>
    </row>
    <row r="94" spans="1:9">
      <c r="A94" s="39"/>
      <c r="B94" s="40"/>
      <c r="C94" s="40"/>
      <c r="D94" s="40"/>
      <c r="E94" s="57"/>
      <c r="F94" s="40"/>
      <c r="G94" s="40"/>
      <c r="H94" s="40"/>
      <c r="I94" s="40"/>
    </row>
    <row r="95" spans="1:9">
      <c r="A95" s="39"/>
      <c r="B95" s="40"/>
      <c r="C95" s="40"/>
      <c r="D95" s="40"/>
      <c r="E95" s="57"/>
      <c r="F95" s="40"/>
      <c r="G95" s="40"/>
      <c r="H95" s="40"/>
      <c r="I95" s="40"/>
    </row>
    <row r="96" spans="1:9">
      <c r="A96" s="39"/>
      <c r="B96" s="40"/>
      <c r="C96" s="40"/>
      <c r="D96" s="40"/>
      <c r="E96" s="57"/>
      <c r="F96" s="40"/>
      <c r="G96" s="40"/>
      <c r="H96" s="40"/>
      <c r="I96" s="40"/>
    </row>
    <row r="97" spans="1:9">
      <c r="A97" s="39"/>
      <c r="B97" s="40"/>
      <c r="C97" s="40"/>
      <c r="D97" s="40"/>
      <c r="E97" s="57"/>
      <c r="F97" s="40"/>
      <c r="G97" s="40"/>
      <c r="H97" s="40"/>
      <c r="I97" s="40"/>
    </row>
    <row r="98" spans="1:9">
      <c r="A98" s="39"/>
      <c r="B98" s="40"/>
      <c r="C98" s="40"/>
      <c r="D98" s="40"/>
      <c r="E98" s="57"/>
      <c r="F98" s="40"/>
      <c r="G98" s="40"/>
      <c r="H98" s="40"/>
      <c r="I98" s="40"/>
    </row>
    <row r="99" spans="1:9">
      <c r="A99" s="39"/>
      <c r="B99" s="40"/>
      <c r="C99" s="40"/>
      <c r="D99" s="40"/>
      <c r="E99" s="57"/>
      <c r="F99" s="40"/>
      <c r="G99" s="40"/>
      <c r="H99" s="40"/>
      <c r="I99" s="40"/>
    </row>
    <row r="100" spans="1:9">
      <c r="A100" s="39"/>
      <c r="B100" s="40"/>
      <c r="C100" s="40"/>
      <c r="D100" s="40"/>
      <c r="E100" s="57"/>
      <c r="F100" s="40"/>
      <c r="G100" s="40"/>
      <c r="H100" s="40"/>
      <c r="I100" s="40"/>
    </row>
    <row r="101" spans="1:9">
      <c r="A101" s="39"/>
      <c r="B101" s="40"/>
      <c r="C101" s="40"/>
      <c r="D101" s="40"/>
      <c r="E101" s="40"/>
      <c r="F101" s="40"/>
      <c r="G101" s="40"/>
      <c r="H101" s="40"/>
      <c r="I101" s="40"/>
    </row>
    <row r="102" spans="1:9">
      <c r="A102" s="39"/>
      <c r="B102" s="40"/>
      <c r="C102" s="40"/>
      <c r="D102" s="40"/>
      <c r="E102" s="40"/>
      <c r="F102" s="40"/>
      <c r="G102" s="40"/>
      <c r="H102" s="40"/>
      <c r="I102" s="40"/>
    </row>
    <row r="103" spans="1:9">
      <c r="A103" s="40"/>
      <c r="B103" s="40"/>
      <c r="C103" s="40"/>
      <c r="D103" s="40"/>
      <c r="E103" s="40"/>
      <c r="F103" s="40"/>
      <c r="G103" s="40"/>
      <c r="H103" s="40"/>
      <c r="I103" s="40"/>
    </row>
    <row r="104" spans="1:9">
      <c r="A104" s="39"/>
      <c r="B104" s="40"/>
      <c r="C104" s="40"/>
      <c r="D104" s="40"/>
      <c r="E104" s="40"/>
      <c r="F104" s="40"/>
      <c r="G104" s="40"/>
      <c r="H104" s="40"/>
      <c r="I104" s="40"/>
    </row>
    <row r="105" spans="1:9">
      <c r="A105" s="40"/>
      <c r="B105" s="40"/>
      <c r="C105" s="40"/>
      <c r="D105" s="40"/>
      <c r="E105" s="40"/>
      <c r="F105" s="40"/>
      <c r="G105" s="40"/>
      <c r="H105" s="40"/>
      <c r="I105" s="40"/>
    </row>
    <row r="106" spans="1:9">
      <c r="A106" s="39"/>
      <c r="B106" s="40"/>
      <c r="C106" s="40"/>
      <c r="D106" s="40"/>
      <c r="E106" s="40"/>
      <c r="F106" s="40"/>
      <c r="G106" s="40"/>
      <c r="H106" s="40"/>
      <c r="I106" s="40"/>
    </row>
    <row r="107" spans="1:9">
      <c r="A107" s="40"/>
      <c r="B107" s="40"/>
      <c r="C107" s="40"/>
      <c r="D107" s="40"/>
      <c r="E107" s="40"/>
      <c r="F107" s="40"/>
      <c r="G107" s="40"/>
      <c r="H107" s="40"/>
      <c r="I107" s="40"/>
    </row>
    <row r="108" spans="1:9">
      <c r="A108" s="40"/>
      <c r="B108" s="40"/>
      <c r="C108" s="40"/>
      <c r="D108" s="40"/>
      <c r="E108" s="40"/>
      <c r="F108" s="40"/>
      <c r="G108" s="40"/>
      <c r="H108" s="40"/>
      <c r="I108" s="40"/>
    </row>
    <row r="109" spans="1:9">
      <c r="A109" s="40"/>
      <c r="B109" s="40"/>
      <c r="C109" s="40"/>
      <c r="D109" s="40"/>
      <c r="E109" s="40"/>
      <c r="F109" s="40"/>
      <c r="G109" s="40"/>
      <c r="H109" s="40"/>
      <c r="I109" s="40"/>
    </row>
    <row r="110" spans="1:9">
      <c r="A110" s="39"/>
      <c r="B110" s="40"/>
      <c r="C110" s="40"/>
      <c r="D110" s="40"/>
      <c r="E110" s="40"/>
      <c r="F110" s="40"/>
      <c r="G110" s="40"/>
      <c r="H110" s="40"/>
      <c r="I110" s="40"/>
    </row>
    <row r="111" spans="1:9">
      <c r="A111" s="40"/>
      <c r="B111" s="40"/>
      <c r="C111" s="40"/>
      <c r="D111" s="40"/>
      <c r="E111" s="40"/>
      <c r="F111" s="40"/>
      <c r="G111" s="40"/>
      <c r="H111" s="40"/>
      <c r="I111" s="40"/>
    </row>
    <row r="112" spans="1:9">
      <c r="A112" s="40"/>
      <c r="B112" s="58"/>
      <c r="C112" s="40"/>
      <c r="D112" s="40"/>
      <c r="E112" s="40"/>
      <c r="F112" s="40"/>
      <c r="G112" s="59"/>
      <c r="H112" s="59"/>
      <c r="I112" s="40"/>
    </row>
    <row r="113" spans="1:9">
      <c r="A113" s="40"/>
      <c r="B113" s="58"/>
      <c r="C113" s="40"/>
      <c r="D113" s="40"/>
      <c r="E113" s="40"/>
      <c r="F113" s="40"/>
      <c r="G113" s="59"/>
      <c r="H113" s="59"/>
      <c r="I113" s="40"/>
    </row>
    <row r="114" spans="1:9">
      <c r="A114" s="40"/>
      <c r="B114" s="58"/>
      <c r="C114" s="40"/>
      <c r="D114" s="40"/>
      <c r="E114" s="40"/>
      <c r="F114" s="40"/>
      <c r="G114" s="59"/>
      <c r="H114" s="59"/>
      <c r="I114" s="40"/>
    </row>
    <row r="115" spans="1:9">
      <c r="A115" s="40"/>
      <c r="B115" s="58"/>
      <c r="C115" s="40"/>
      <c r="D115" s="40"/>
      <c r="E115" s="40"/>
      <c r="F115" s="40"/>
      <c r="G115" s="59"/>
      <c r="H115" s="59"/>
      <c r="I115" s="40"/>
    </row>
    <row r="116" spans="1:9">
      <c r="A116" s="40"/>
      <c r="B116" s="58"/>
      <c r="C116" s="40"/>
      <c r="D116" s="40"/>
      <c r="E116" s="40"/>
      <c r="F116" s="40"/>
      <c r="G116" s="59"/>
      <c r="H116" s="59"/>
      <c r="I116" s="40"/>
    </row>
    <row r="117" spans="1:9">
      <c r="A117" s="40"/>
      <c r="B117" s="58"/>
      <c r="C117" s="40"/>
      <c r="D117" s="40"/>
      <c r="E117" s="40"/>
      <c r="F117" s="40"/>
      <c r="G117" s="59"/>
      <c r="H117" s="59"/>
      <c r="I117" s="40"/>
    </row>
    <row r="118" spans="1:9">
      <c r="A118" s="40"/>
      <c r="B118" s="58"/>
      <c r="C118" s="40"/>
      <c r="D118" s="40"/>
      <c r="E118" s="40"/>
      <c r="F118" s="40"/>
      <c r="G118" s="59"/>
      <c r="H118" s="59"/>
      <c r="I118" s="40"/>
    </row>
    <row r="119" spans="1:9">
      <c r="A119" s="40"/>
      <c r="B119" s="58"/>
      <c r="C119" s="40"/>
      <c r="D119" s="40"/>
      <c r="E119" s="40"/>
      <c r="F119" s="40"/>
      <c r="G119" s="59"/>
      <c r="H119" s="59"/>
      <c r="I119" s="40"/>
    </row>
    <row r="120" spans="1:9">
      <c r="B120" s="60"/>
      <c r="G120" s="61"/>
      <c r="H120" s="61"/>
    </row>
    <row r="121" spans="1:9">
      <c r="B121" s="60"/>
      <c r="G121" s="61"/>
      <c r="H121" s="61"/>
    </row>
    <row r="122" spans="1:9">
      <c r="B122" s="60"/>
      <c r="G122" s="61"/>
      <c r="H122" s="61"/>
    </row>
    <row r="123" spans="1:9">
      <c r="B123" s="60"/>
      <c r="G123" s="61"/>
      <c r="H123" s="61"/>
    </row>
    <row r="124" spans="1:9">
      <c r="B124" s="60"/>
      <c r="G124" s="61"/>
      <c r="H124" s="61"/>
    </row>
    <row r="125" spans="1:9">
      <c r="B125" s="60"/>
      <c r="G125" s="61"/>
      <c r="H125" s="61"/>
    </row>
    <row r="126" spans="1:9">
      <c r="B126" s="60"/>
      <c r="G126" s="61"/>
      <c r="H126" s="61"/>
    </row>
    <row r="127" spans="1:9">
      <c r="B127" s="60"/>
      <c r="G127" s="61"/>
      <c r="H127" s="61"/>
    </row>
    <row r="128" spans="1:9">
      <c r="B128" s="60"/>
      <c r="G128" s="61"/>
      <c r="H128" s="61"/>
    </row>
    <row r="129" spans="7:8">
      <c r="G129" s="61"/>
      <c r="H129" s="61"/>
    </row>
    <row r="130" spans="7:8">
      <c r="G130" s="61"/>
      <c r="H130" s="61"/>
    </row>
    <row r="131" spans="7:8">
      <c r="G131" s="61"/>
      <c r="H131" s="61"/>
    </row>
    <row r="132" spans="7:8">
      <c r="G132" s="61"/>
      <c r="H132" s="61"/>
    </row>
    <row r="133" spans="7:8">
      <c r="G133" s="61"/>
      <c r="H133" s="61"/>
    </row>
    <row r="134" spans="7:8">
      <c r="G134" s="61"/>
      <c r="H134" s="61"/>
    </row>
    <row r="135" spans="7:8">
      <c r="G135" s="61"/>
      <c r="H135" s="61"/>
    </row>
    <row r="136" spans="7:8">
      <c r="G136" s="61"/>
      <c r="H136" s="61"/>
    </row>
    <row r="137" spans="7:8">
      <c r="G137" s="61"/>
      <c r="H137" s="61"/>
    </row>
    <row r="138" spans="7:8">
      <c r="G138" s="61"/>
      <c r="H138" s="61"/>
    </row>
    <row r="139" spans="7:8">
      <c r="G139" s="61"/>
      <c r="H139" s="61"/>
    </row>
    <row r="140" spans="7:8">
      <c r="G140" s="61"/>
      <c r="H140" s="61"/>
    </row>
    <row r="141" spans="7:8">
      <c r="G141" s="61"/>
      <c r="H141" s="61"/>
    </row>
    <row r="142" spans="7:8">
      <c r="G142" s="61"/>
      <c r="H142" s="61"/>
    </row>
    <row r="143" spans="7:8">
      <c r="G143" s="61"/>
      <c r="H143" s="61"/>
    </row>
    <row r="144" spans="7:8">
      <c r="G144" s="61"/>
      <c r="H144" s="61"/>
    </row>
    <row r="145" spans="7:8">
      <c r="G145" s="61"/>
      <c r="H145" s="61"/>
    </row>
    <row r="146" spans="7:8">
      <c r="G146" s="61"/>
      <c r="H146" s="61"/>
    </row>
    <row r="147" spans="7:8">
      <c r="G147" s="61"/>
      <c r="H147" s="61"/>
    </row>
    <row r="148" spans="7:8">
      <c r="G148" s="61"/>
      <c r="H148" s="61"/>
    </row>
    <row r="149" spans="7:8">
      <c r="G149" s="61"/>
      <c r="H149" s="61"/>
    </row>
    <row r="150" spans="7:8">
      <c r="G150" s="61"/>
      <c r="H150" s="61"/>
    </row>
    <row r="151" spans="7:8">
      <c r="G151" s="61"/>
      <c r="H151" s="61"/>
    </row>
    <row r="152" spans="7:8">
      <c r="G152" s="61"/>
      <c r="H152" s="61"/>
    </row>
    <row r="153" spans="7:8">
      <c r="G153" s="61"/>
      <c r="H153" s="61"/>
    </row>
  </sheetData>
  <mergeCells count="16">
    <mergeCell ref="B42:D42"/>
    <mergeCell ref="B43:D43"/>
    <mergeCell ref="B45:D45"/>
    <mergeCell ref="B46:D46"/>
    <mergeCell ref="B47:D48"/>
    <mergeCell ref="B44:D44"/>
    <mergeCell ref="B2:N2"/>
    <mergeCell ref="B26:N26"/>
    <mergeCell ref="A4:I4"/>
    <mergeCell ref="A37:I37"/>
    <mergeCell ref="B41:D41"/>
    <mergeCell ref="J6:L6"/>
    <mergeCell ref="J7:L7"/>
    <mergeCell ref="K8:L8"/>
    <mergeCell ref="K9:L9"/>
    <mergeCell ref="K10:L10"/>
  </mergeCells>
  <hyperlinks>
    <hyperlink ref="A53" r:id="rId1"/>
  </hyperlinks>
  <printOptions horizontalCentered="1"/>
  <pageMargins left="0.78740157480314965" right="0.59055118110236227" top="0.39370078740157483" bottom="0.78740157480314965" header="0.31496062992125984" footer="0.31496062992125984"/>
  <pageSetup paperSize="9" scale="90" orientation="landscape" r:id="rId2"/>
  <headerFooter scaleWithDoc="0">
    <oddFooter>&amp;L&amp;"Arial,Normal"&amp;10Análisis de Precios&amp;R&amp;"Arial,Normal"&amp;10Pág. &amp;P de &amp;N</oddFooter>
  </headerFooter>
  <rowBreaks count="1" manualBreakCount="1">
    <brk id="24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N79"/>
  <sheetViews>
    <sheetView showGridLines="0" view="pageBreakPreview" zoomScaleNormal="100" zoomScaleSheetLayoutView="100" workbookViewId="0">
      <selection activeCell="U16" sqref="U16"/>
    </sheetView>
  </sheetViews>
  <sheetFormatPr baseColWidth="10" defaultColWidth="11" defaultRowHeight="15"/>
  <cols>
    <col min="1" max="1" width="11" style="65"/>
    <col min="2" max="2" width="42.28515625" style="62" customWidth="1"/>
    <col min="3" max="3" width="7.85546875" style="62" customWidth="1"/>
    <col min="4" max="4" width="11.5703125" style="63" customWidth="1"/>
    <col min="5" max="5" width="8" style="64" customWidth="1"/>
    <col min="6" max="6" width="0" style="62" hidden="1" customWidth="1"/>
    <col min="7" max="7" width="11" style="62" customWidth="1"/>
    <col min="8" max="9" width="11" style="65" hidden="1" customWidth="1"/>
    <col min="10" max="10" width="13.7109375" style="65" hidden="1" customWidth="1"/>
    <col min="11" max="11" width="6.5703125" style="65" hidden="1" customWidth="1"/>
    <col min="12" max="12" width="3.85546875" style="65" hidden="1" customWidth="1"/>
    <col min="13" max="13" width="1.85546875" style="65" hidden="1" customWidth="1"/>
    <col min="14" max="14" width="3.5703125" style="65" hidden="1" customWidth="1"/>
    <col min="15" max="18" width="0" style="65" hidden="1" customWidth="1"/>
    <col min="19" max="19" width="11.28515625" style="65" bestFit="1" customWidth="1"/>
    <col min="20" max="20" width="12.42578125" style="65" bestFit="1" customWidth="1"/>
    <col min="21" max="21" width="11.28515625" style="65" bestFit="1" customWidth="1"/>
    <col min="22" max="16384" width="11" style="65"/>
  </cols>
  <sheetData>
    <row r="1" spans="1:12" s="264" customFormat="1">
      <c r="A1" s="5"/>
      <c r="B1" s="5"/>
      <c r="E1" s="7"/>
      <c r="G1" s="704"/>
      <c r="H1" s="8"/>
      <c r="I1" s="8"/>
    </row>
    <row r="2" spans="1:12" s="264" customFormat="1" ht="60.75" customHeight="1">
      <c r="A2" s="913" t="s">
        <v>353</v>
      </c>
      <c r="B2" s="913"/>
      <c r="C2" s="913"/>
      <c r="D2" s="913"/>
      <c r="E2" s="913"/>
      <c r="F2" s="913"/>
      <c r="G2" s="913"/>
      <c r="H2" s="913"/>
    </row>
    <row r="3" spans="1:12" ht="15.75" thickBot="1"/>
    <row r="4" spans="1:12" s="2" customFormat="1" ht="17.25" thickTop="1" thickBot="1">
      <c r="B4" s="947" t="s">
        <v>77</v>
      </c>
      <c r="C4" s="948"/>
      <c r="D4" s="948"/>
      <c r="E4" s="949"/>
      <c r="F4" s="66"/>
      <c r="G4" s="67"/>
    </row>
    <row r="5" spans="1:12" s="2" customFormat="1" ht="16.5" thickTop="1" thickBot="1">
      <c r="B5" s="68"/>
      <c r="C5" s="68"/>
      <c r="D5" s="69"/>
      <c r="E5" s="70"/>
      <c r="F5" s="68"/>
      <c r="G5" s="68"/>
    </row>
    <row r="6" spans="1:12" ht="16.5" thickTop="1" thickBot="1">
      <c r="B6" s="71" t="s">
        <v>78</v>
      </c>
      <c r="C6" s="72"/>
      <c r="D6" s="73" t="s">
        <v>79</v>
      </c>
      <c r="E6" s="74" t="s">
        <v>80</v>
      </c>
      <c r="F6" s="75" t="s">
        <v>81</v>
      </c>
    </row>
    <row r="7" spans="1:12" ht="15.75" customHeight="1" thickTop="1">
      <c r="B7" s="707" t="s">
        <v>82</v>
      </c>
      <c r="C7" s="708"/>
      <c r="D7" s="709">
        <f>+'Análisis Equipos'!C11</f>
        <v>4.46</v>
      </c>
      <c r="E7" s="710" t="s">
        <v>83</v>
      </c>
      <c r="F7" s="76"/>
      <c r="H7" s="77"/>
    </row>
    <row r="8" spans="1:12" ht="15.75" customHeight="1">
      <c r="B8" s="697" t="s">
        <v>84</v>
      </c>
      <c r="C8" s="78"/>
      <c r="D8" s="79">
        <v>409.88</v>
      </c>
      <c r="E8" s="80" t="s">
        <v>171</v>
      </c>
      <c r="F8" s="281" t="s">
        <v>85</v>
      </c>
      <c r="I8" s="77"/>
    </row>
    <row r="9" spans="1:12" ht="15.75" customHeight="1">
      <c r="B9" s="81" t="s">
        <v>260</v>
      </c>
      <c r="C9" s="82"/>
      <c r="D9" s="580">
        <f>1.3*'Análisis Equipos'!$C$6</f>
        <v>5.8500000000000005</v>
      </c>
      <c r="E9" s="80" t="s">
        <v>89</v>
      </c>
      <c r="F9" s="76"/>
      <c r="L9" s="83"/>
    </row>
    <row r="10" spans="1:12" ht="15.75" customHeight="1">
      <c r="B10" s="81" t="s">
        <v>283</v>
      </c>
      <c r="C10" s="82"/>
      <c r="D10" s="580">
        <f>12.4*'Análisis Equipos'!$C$6</f>
        <v>55.800000000000004</v>
      </c>
      <c r="E10" s="80" t="s">
        <v>89</v>
      </c>
      <c r="F10" s="76"/>
      <c r="L10" s="83"/>
    </row>
    <row r="11" spans="1:12" ht="15.75" customHeight="1">
      <c r="B11" s="81" t="s">
        <v>328</v>
      </c>
      <c r="C11" s="82"/>
      <c r="D11" s="580">
        <f>110*'Análisis Equipos'!C6</f>
        <v>495</v>
      </c>
      <c r="E11" s="80" t="s">
        <v>87</v>
      </c>
      <c r="F11" s="76"/>
      <c r="L11" s="83"/>
    </row>
    <row r="12" spans="1:12" ht="15.75" customHeight="1">
      <c r="B12" s="81" t="s">
        <v>282</v>
      </c>
      <c r="C12" s="82"/>
      <c r="D12" s="580">
        <f>190*'Análisis Equipos'!$C$6</f>
        <v>855</v>
      </c>
      <c r="E12" s="80" t="s">
        <v>87</v>
      </c>
      <c r="F12" s="76"/>
      <c r="L12" s="83"/>
    </row>
    <row r="13" spans="1:12" ht="15.75" customHeight="1">
      <c r="B13" s="81" t="s">
        <v>335</v>
      </c>
      <c r="C13" s="82"/>
      <c r="D13" s="580">
        <f>815*'Análisis Equipos'!C6</f>
        <v>3667.5</v>
      </c>
      <c r="E13" s="644" t="s">
        <v>87</v>
      </c>
      <c r="F13" s="76"/>
      <c r="L13" s="83"/>
    </row>
    <row r="14" spans="1:12" ht="15.75" hidden="1" thickBot="1">
      <c r="B14" s="252" t="s">
        <v>92</v>
      </c>
      <c r="C14" s="253"/>
      <c r="D14" s="254">
        <v>10.27</v>
      </c>
      <c r="E14" s="255" t="s">
        <v>93</v>
      </c>
      <c r="F14" s="84"/>
    </row>
    <row r="15" spans="1:12">
      <c r="B15" s="812" t="s">
        <v>334</v>
      </c>
      <c r="C15" s="813"/>
      <c r="D15" s="814">
        <f>815/(7.23*13.7)*5*7*'Análisis Equipos'!C6</f>
        <v>1295.923312233092</v>
      </c>
      <c r="E15" s="815" t="s">
        <v>87</v>
      </c>
      <c r="F15" s="84"/>
    </row>
    <row r="16" spans="1:12">
      <c r="B16" s="812" t="s">
        <v>360</v>
      </c>
      <c r="C16" s="813"/>
      <c r="D16" s="814">
        <f>0.32*'Análisis Equipos'!C6</f>
        <v>1.44</v>
      </c>
      <c r="E16" s="815" t="s">
        <v>86</v>
      </c>
      <c r="F16" s="84"/>
    </row>
    <row r="17" spans="2:6">
      <c r="B17" s="812" t="s">
        <v>413</v>
      </c>
      <c r="C17" s="813"/>
      <c r="D17" s="814">
        <v>6500</v>
      </c>
      <c r="E17" s="815" t="s">
        <v>171</v>
      </c>
      <c r="F17" s="84"/>
    </row>
    <row r="18" spans="2:6" ht="15.75" thickBot="1">
      <c r="B18" s="902" t="s">
        <v>411</v>
      </c>
      <c r="C18" s="903"/>
      <c r="D18" s="904">
        <f>184.45/4</f>
        <v>46.112499999999997</v>
      </c>
      <c r="E18" s="905" t="s">
        <v>83</v>
      </c>
      <c r="F18" s="84"/>
    </row>
    <row r="19" spans="2:6" ht="15.75" thickTop="1">
      <c r="B19" s="85"/>
      <c r="C19" s="86"/>
      <c r="D19" s="87"/>
      <c r="E19" s="85"/>
      <c r="F19" s="84"/>
    </row>
    <row r="20" spans="2:6">
      <c r="B20" s="65"/>
      <c r="C20" s="65"/>
      <c r="D20" s="88"/>
      <c r="E20" s="89"/>
      <c r="F20" s="84"/>
    </row>
    <row r="21" spans="2:6">
      <c r="B21" s="65"/>
      <c r="C21" s="65"/>
      <c r="D21" s="88"/>
      <c r="E21" s="89"/>
      <c r="F21" s="84"/>
    </row>
    <row r="22" spans="2:6">
      <c r="B22" s="65"/>
      <c r="C22" s="65"/>
      <c r="D22" s="88"/>
      <c r="E22" s="89"/>
      <c r="F22" s="84"/>
    </row>
    <row r="23" spans="2:6">
      <c r="B23" s="65"/>
      <c r="C23" s="65"/>
      <c r="D23" s="88"/>
      <c r="E23" s="89"/>
      <c r="F23" s="84"/>
    </row>
    <row r="24" spans="2:6">
      <c r="B24" s="65"/>
      <c r="C24" s="65"/>
      <c r="D24" s="88"/>
      <c r="E24" s="89"/>
      <c r="F24" s="84"/>
    </row>
    <row r="25" spans="2:6">
      <c r="B25" s="65"/>
      <c r="C25" s="65"/>
      <c r="D25" s="88"/>
      <c r="E25" s="89"/>
      <c r="F25" s="84"/>
    </row>
    <row r="26" spans="2:6">
      <c r="B26" s="65"/>
      <c r="C26" s="65"/>
      <c r="D26" s="88"/>
      <c r="E26" s="89"/>
      <c r="F26" s="84"/>
    </row>
    <row r="27" spans="2:6">
      <c r="B27" s="65"/>
      <c r="C27" s="65"/>
      <c r="D27" s="88"/>
      <c r="E27" s="89"/>
      <c r="F27" s="84"/>
    </row>
    <row r="28" spans="2:6">
      <c r="B28" s="65"/>
      <c r="C28" s="65"/>
      <c r="D28" s="88"/>
      <c r="E28" s="89"/>
      <c r="F28" s="84"/>
    </row>
    <row r="29" spans="2:6">
      <c r="B29" s="65"/>
      <c r="C29" s="65"/>
      <c r="D29" s="88"/>
      <c r="E29" s="89"/>
      <c r="F29" s="84"/>
    </row>
    <row r="30" spans="2:6">
      <c r="B30" s="65"/>
      <c r="C30" s="65"/>
      <c r="D30" s="88"/>
      <c r="E30" s="89"/>
    </row>
    <row r="31" spans="2:6">
      <c r="B31" s="65"/>
      <c r="C31" s="65"/>
      <c r="D31" s="88"/>
      <c r="E31" s="89"/>
    </row>
    <row r="32" spans="2:6">
      <c r="B32" s="65"/>
      <c r="C32" s="65"/>
      <c r="D32" s="88"/>
      <c r="E32" s="89"/>
    </row>
    <row r="33" spans="2:5">
      <c r="B33" s="65"/>
      <c r="C33" s="65"/>
      <c r="D33" s="88"/>
      <c r="E33" s="89"/>
    </row>
    <row r="34" spans="2:5">
      <c r="B34" s="65"/>
      <c r="C34" s="65"/>
      <c r="D34" s="88"/>
      <c r="E34" s="89"/>
    </row>
    <row r="35" spans="2:5">
      <c r="B35" s="65"/>
      <c r="C35" s="65"/>
      <c r="D35" s="88"/>
      <c r="E35" s="89"/>
    </row>
    <row r="36" spans="2:5">
      <c r="B36" s="65"/>
      <c r="C36" s="65"/>
      <c r="D36" s="88"/>
      <c r="E36" s="89"/>
    </row>
    <row r="37" spans="2:5">
      <c r="B37" s="65"/>
      <c r="C37" s="65"/>
      <c r="D37" s="88"/>
      <c r="E37" s="89"/>
    </row>
    <row r="38" spans="2:5">
      <c r="B38" s="65"/>
      <c r="C38" s="65"/>
      <c r="D38" s="88"/>
      <c r="E38" s="89"/>
    </row>
    <row r="39" spans="2:5">
      <c r="B39" s="65"/>
      <c r="C39" s="65"/>
      <c r="D39" s="88"/>
      <c r="E39" s="89"/>
    </row>
    <row r="40" spans="2:5">
      <c r="B40" s="65"/>
      <c r="C40" s="65"/>
      <c r="D40" s="88"/>
      <c r="E40" s="89"/>
    </row>
    <row r="41" spans="2:5">
      <c r="B41" s="65"/>
      <c r="C41" s="65"/>
      <c r="D41" s="88"/>
      <c r="E41" s="89"/>
    </row>
    <row r="42" spans="2:5">
      <c r="B42" s="65"/>
      <c r="C42" s="65"/>
      <c r="D42" s="88"/>
      <c r="E42" s="89"/>
    </row>
    <row r="43" spans="2:5">
      <c r="B43" s="65"/>
      <c r="C43" s="65"/>
      <c r="D43" s="88"/>
      <c r="E43" s="89"/>
    </row>
    <row r="44" spans="2:5">
      <c r="B44" s="65"/>
      <c r="C44" s="65"/>
      <c r="D44" s="88"/>
      <c r="E44" s="89"/>
    </row>
    <row r="45" spans="2:5">
      <c r="B45" s="65"/>
      <c r="C45" s="65"/>
      <c r="D45" s="88"/>
      <c r="E45" s="89"/>
    </row>
    <row r="46" spans="2:5">
      <c r="B46" s="65"/>
      <c r="C46" s="65"/>
      <c r="D46" s="88"/>
      <c r="E46" s="89"/>
    </row>
    <row r="47" spans="2:5">
      <c r="B47" s="65"/>
      <c r="C47" s="65"/>
      <c r="D47" s="88"/>
      <c r="E47" s="89"/>
    </row>
    <row r="48" spans="2:5">
      <c r="B48" s="65"/>
      <c r="C48" s="65"/>
      <c r="D48" s="88"/>
      <c r="E48" s="89"/>
    </row>
    <row r="49" spans="2:5">
      <c r="B49" s="65"/>
      <c r="C49" s="65"/>
      <c r="D49" s="88"/>
      <c r="E49" s="89"/>
    </row>
    <row r="50" spans="2:5">
      <c r="B50" s="65"/>
      <c r="C50" s="65"/>
      <c r="D50" s="88"/>
      <c r="E50" s="89"/>
    </row>
    <row r="51" spans="2:5">
      <c r="B51" s="65"/>
      <c r="C51" s="65"/>
      <c r="D51" s="88"/>
      <c r="E51" s="89"/>
    </row>
    <row r="52" spans="2:5">
      <c r="B52" s="65"/>
      <c r="C52" s="65"/>
      <c r="D52" s="88"/>
      <c r="E52" s="89"/>
    </row>
    <row r="53" spans="2:5">
      <c r="B53" s="65"/>
      <c r="C53" s="65"/>
      <c r="D53" s="88"/>
      <c r="E53" s="89"/>
    </row>
    <row r="54" spans="2:5">
      <c r="B54" s="65"/>
      <c r="C54" s="65"/>
      <c r="D54" s="88"/>
      <c r="E54" s="89"/>
    </row>
    <row r="55" spans="2:5">
      <c r="B55" s="65"/>
      <c r="C55" s="65"/>
      <c r="D55" s="88"/>
      <c r="E55" s="89"/>
    </row>
    <row r="56" spans="2:5">
      <c r="B56" s="65"/>
      <c r="C56" s="65"/>
      <c r="D56" s="88"/>
      <c r="E56" s="89"/>
    </row>
    <row r="57" spans="2:5">
      <c r="B57" s="65"/>
      <c r="C57" s="65"/>
      <c r="D57" s="88"/>
      <c r="E57" s="89"/>
    </row>
    <row r="58" spans="2:5">
      <c r="B58" s="65"/>
      <c r="C58" s="65"/>
      <c r="D58" s="88"/>
      <c r="E58" s="89"/>
    </row>
    <row r="59" spans="2:5">
      <c r="B59" s="65"/>
      <c r="C59" s="65"/>
      <c r="D59" s="88"/>
      <c r="E59" s="89"/>
    </row>
    <row r="60" spans="2:5">
      <c r="B60" s="65"/>
      <c r="C60" s="65"/>
      <c r="D60" s="88"/>
      <c r="E60" s="89"/>
    </row>
    <row r="61" spans="2:5">
      <c r="B61" s="65"/>
      <c r="C61" s="65"/>
      <c r="D61" s="88"/>
      <c r="E61" s="89"/>
    </row>
    <row r="62" spans="2:5">
      <c r="B62" s="65"/>
      <c r="C62" s="65"/>
      <c r="D62" s="88"/>
      <c r="E62" s="89"/>
    </row>
    <row r="63" spans="2:5">
      <c r="B63" s="65"/>
      <c r="C63" s="65"/>
      <c r="D63" s="88"/>
      <c r="E63" s="89"/>
    </row>
    <row r="64" spans="2:5">
      <c r="B64" s="65"/>
      <c r="C64" s="65"/>
      <c r="D64" s="88"/>
      <c r="E64" s="89"/>
    </row>
    <row r="65" spans="2:5">
      <c r="B65" s="65"/>
      <c r="C65" s="65"/>
      <c r="D65" s="88"/>
      <c r="E65" s="89"/>
    </row>
    <row r="66" spans="2:5">
      <c r="B66" s="65"/>
      <c r="C66" s="65"/>
      <c r="D66" s="88"/>
      <c r="E66" s="89"/>
    </row>
    <row r="67" spans="2:5">
      <c r="B67" s="65"/>
      <c r="C67" s="65"/>
      <c r="D67" s="88"/>
      <c r="E67" s="89"/>
    </row>
    <row r="68" spans="2:5">
      <c r="B68" s="65"/>
      <c r="C68" s="65"/>
      <c r="D68" s="88"/>
      <c r="E68" s="89"/>
    </row>
    <row r="69" spans="2:5">
      <c r="B69" s="65"/>
      <c r="C69" s="65"/>
      <c r="D69" s="88"/>
      <c r="E69" s="89"/>
    </row>
    <row r="70" spans="2:5">
      <c r="B70" s="65"/>
      <c r="C70" s="65"/>
      <c r="D70" s="88"/>
      <c r="E70" s="89"/>
    </row>
    <row r="71" spans="2:5">
      <c r="B71" s="65"/>
      <c r="C71" s="65"/>
      <c r="D71" s="88"/>
      <c r="E71" s="89"/>
    </row>
    <row r="72" spans="2:5">
      <c r="B72" s="65"/>
      <c r="C72" s="65"/>
      <c r="D72" s="88"/>
      <c r="E72" s="89"/>
    </row>
    <row r="73" spans="2:5">
      <c r="B73" s="65"/>
      <c r="C73" s="65"/>
      <c r="D73" s="88"/>
      <c r="E73" s="89"/>
    </row>
    <row r="74" spans="2:5">
      <c r="B74" s="65"/>
      <c r="C74" s="65"/>
      <c r="D74" s="88"/>
      <c r="E74" s="89"/>
    </row>
    <row r="75" spans="2:5">
      <c r="B75" s="65"/>
      <c r="C75" s="65"/>
      <c r="D75" s="88"/>
      <c r="E75" s="89"/>
    </row>
    <row r="76" spans="2:5">
      <c r="B76" s="65"/>
      <c r="C76" s="65"/>
      <c r="D76" s="88"/>
      <c r="E76" s="89"/>
    </row>
    <row r="77" spans="2:5">
      <c r="B77" s="65"/>
      <c r="C77" s="65"/>
      <c r="D77" s="88"/>
      <c r="E77" s="89"/>
    </row>
    <row r="78" spans="2:5">
      <c r="B78" s="65"/>
      <c r="C78" s="65"/>
      <c r="D78" s="88"/>
      <c r="E78" s="89"/>
    </row>
    <row r="79" spans="2:5">
      <c r="B79" s="65"/>
    </row>
  </sheetData>
  <mergeCells count="2">
    <mergeCell ref="B4:E4"/>
    <mergeCell ref="A2:H2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&amp;L&amp;"Arial,Normal"&amp;10Análisis de Precios&amp;C  &amp;R&amp;"Arial,Normal"&amp;10Pág. &amp;P de &amp;N 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Q30"/>
  <sheetViews>
    <sheetView showGridLines="0" view="pageBreakPreview" zoomScaleNormal="100" zoomScaleSheetLayoutView="100" workbookViewId="0">
      <selection activeCell="U16" sqref="U16"/>
    </sheetView>
  </sheetViews>
  <sheetFormatPr baseColWidth="10" defaultRowHeight="15"/>
  <cols>
    <col min="1" max="1" width="3.5703125" customWidth="1"/>
    <col min="2" max="2" width="35.5703125" customWidth="1"/>
    <col min="3" max="3" width="3.140625" hidden="1" customWidth="1"/>
    <col min="4" max="4" width="6.42578125" customWidth="1"/>
    <col min="5" max="5" width="3" customWidth="1"/>
    <col min="6" max="6" width="1.5703125" customWidth="1"/>
    <col min="7" max="7" width="4.5703125" customWidth="1"/>
    <col min="8" max="8" width="3.42578125" customWidth="1"/>
    <col min="9" max="9" width="12.85546875" bestFit="1" customWidth="1"/>
    <col min="10" max="11" width="10.85546875" customWidth="1"/>
    <col min="12" max="12" width="12.42578125" customWidth="1"/>
    <col min="13" max="13" width="12.28515625" customWidth="1"/>
    <col min="14" max="14" width="9.5703125" customWidth="1"/>
  </cols>
  <sheetData>
    <row r="1" spans="1:17" s="264" customFormat="1">
      <c r="A1" s="5"/>
      <c r="B1" s="5"/>
      <c r="E1" s="7"/>
      <c r="G1" s="704"/>
      <c r="H1" s="8"/>
      <c r="I1" s="8"/>
    </row>
    <row r="2" spans="1:17" s="264" customFormat="1" ht="60.75" customHeight="1">
      <c r="B2" s="956" t="s">
        <v>355</v>
      </c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</row>
    <row r="3" spans="1:17" s="264" customFormat="1" ht="18.7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</row>
    <row r="4" spans="1:17" s="264" customFormat="1" ht="18.75" customHeight="1" thickBot="1">
      <c r="B4" s="739"/>
      <c r="C4" s="739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</row>
    <row r="5" spans="1:17" ht="17.25" thickTop="1" thickBot="1">
      <c r="A5" s="90"/>
      <c r="B5" s="950" t="s">
        <v>94</v>
      </c>
      <c r="C5" s="951"/>
      <c r="D5" s="951"/>
      <c r="E5" s="951"/>
      <c r="F5" s="951"/>
      <c r="G5" s="951"/>
      <c r="H5" s="951"/>
      <c r="I5" s="951"/>
      <c r="J5" s="951"/>
      <c r="K5" s="951"/>
      <c r="L5" s="951"/>
      <c r="M5" s="951"/>
      <c r="N5" s="952"/>
    </row>
    <row r="6" spans="1:17" ht="16.5" thickTop="1" thickBot="1">
      <c r="A6" s="90"/>
      <c r="B6" s="953"/>
      <c r="C6" s="953"/>
      <c r="D6" s="953"/>
      <c r="E6" s="953"/>
      <c r="F6" s="953"/>
      <c r="G6" s="953"/>
      <c r="H6" s="953"/>
      <c r="I6" s="953"/>
      <c r="J6" s="953"/>
      <c r="K6" s="953"/>
      <c r="L6" s="953"/>
      <c r="M6" s="953"/>
      <c r="N6" s="953"/>
    </row>
    <row r="7" spans="1:17" ht="13.5" customHeight="1" thickTop="1" thickBot="1">
      <c r="A7" s="90"/>
      <c r="B7" s="954" t="s">
        <v>95</v>
      </c>
      <c r="C7" s="737"/>
      <c r="D7" s="967" t="s">
        <v>96</v>
      </c>
      <c r="E7" s="957" t="s">
        <v>97</v>
      </c>
      <c r="F7" s="958"/>
      <c r="G7" s="958"/>
      <c r="H7" s="959"/>
      <c r="I7" s="957" t="s">
        <v>98</v>
      </c>
      <c r="J7" s="965" t="s">
        <v>302</v>
      </c>
      <c r="K7" s="965" t="s">
        <v>138</v>
      </c>
      <c r="L7" s="965" t="s">
        <v>99</v>
      </c>
      <c r="M7" s="965" t="s">
        <v>100</v>
      </c>
      <c r="N7" s="963" t="s">
        <v>101</v>
      </c>
    </row>
    <row r="8" spans="1:17" ht="31.5" customHeight="1" thickBot="1">
      <c r="A8" s="90"/>
      <c r="B8" s="955"/>
      <c r="C8" s="738"/>
      <c r="D8" s="968"/>
      <c r="E8" s="960"/>
      <c r="F8" s="961"/>
      <c r="G8" s="961"/>
      <c r="H8" s="962"/>
      <c r="I8" s="960"/>
      <c r="J8" s="966"/>
      <c r="K8" s="966"/>
      <c r="L8" s="966"/>
      <c r="M8" s="966"/>
      <c r="N8" s="964"/>
    </row>
    <row r="9" spans="1:17" ht="15.75" thickTop="1">
      <c r="A9" s="90">
        <v>1</v>
      </c>
      <c r="B9" s="733" t="s">
        <v>102</v>
      </c>
      <c r="C9" s="734"/>
      <c r="D9" s="711">
        <v>165</v>
      </c>
      <c r="E9" s="969">
        <v>125000</v>
      </c>
      <c r="F9" s="970"/>
      <c r="G9" s="970"/>
      <c r="H9" s="971"/>
      <c r="I9" s="712">
        <f>+E9*'Análisis Equipos'!$C$6</f>
        <v>562500</v>
      </c>
      <c r="J9" s="713">
        <f>I9*(0.9*8/10000)</f>
        <v>405</v>
      </c>
      <c r="K9" s="714">
        <f>I9*('Análisis Equipos'!$C$10*8/2/2000)</f>
        <v>112.5</v>
      </c>
      <c r="L9" s="713">
        <f>+(J9+K9)*0.75</f>
        <v>388.125</v>
      </c>
      <c r="M9" s="713">
        <f>+D9*((1+'Análisis Equipos'!$C$14)*'Análisis Equipos'!$C$12*8*'Análisis Equipos'!$C$11)</f>
        <v>1224.5376000000001</v>
      </c>
      <c r="N9" s="715">
        <f>+SUM(J9:M9)</f>
        <v>2130.1626000000001</v>
      </c>
    </row>
    <row r="10" spans="1:17">
      <c r="A10" s="90">
        <v>2</v>
      </c>
      <c r="B10" s="735" t="s">
        <v>329</v>
      </c>
      <c r="C10" s="736"/>
      <c r="D10" s="716">
        <v>190</v>
      </c>
      <c r="E10" s="972">
        <v>450000</v>
      </c>
      <c r="F10" s="973"/>
      <c r="G10" s="973"/>
      <c r="H10" s="974"/>
      <c r="I10" s="717">
        <f>+E10*'Análisis Equipos'!$C$6</f>
        <v>2025000</v>
      </c>
      <c r="J10" s="718">
        <f>I10*(0.9*8/10000)</f>
        <v>1458</v>
      </c>
      <c r="K10" s="719">
        <f>I10*('Análisis Equipos'!$C$10*8/2/2000)</f>
        <v>405</v>
      </c>
      <c r="L10" s="718">
        <f>+(J10+K10)*0.75</f>
        <v>1397.25</v>
      </c>
      <c r="M10" s="718">
        <f>+D10*((1+'Análisis Equipos'!$C$14)*'Análisis Equipos'!$C$12*8*'Análisis Equipos'!$C$11)</f>
        <v>1410.0736000000002</v>
      </c>
      <c r="N10" s="720">
        <f>+SUM(J10:M10)</f>
        <v>4670.3235999999997</v>
      </c>
    </row>
    <row r="11" spans="1:17">
      <c r="A11" s="90">
        <v>5</v>
      </c>
      <c r="B11" s="735" t="s">
        <v>103</v>
      </c>
      <c r="C11" s="736"/>
      <c r="D11" s="721">
        <v>150</v>
      </c>
      <c r="E11" s="972">
        <v>147500</v>
      </c>
      <c r="F11" s="973"/>
      <c r="G11" s="973"/>
      <c r="H11" s="974"/>
      <c r="I11" s="722">
        <f>+E11*'Análisis Equipos'!$C$6</f>
        <v>663750</v>
      </c>
      <c r="J11" s="718">
        <f t="shared" ref="J11:J18" si="0">I11*(0.9*8/10000)</f>
        <v>477.90000000000003</v>
      </c>
      <c r="K11" s="719">
        <f>I11*('Análisis Equipos'!$C$10*8/2/2000)</f>
        <v>132.75</v>
      </c>
      <c r="L11" s="718">
        <f t="shared" ref="L11:L18" si="1">+(J11+K11)*0.75</f>
        <v>457.98750000000007</v>
      </c>
      <c r="M11" s="718">
        <f>+D11*((1+'Análisis Equipos'!$C$14)*'Análisis Equipos'!$C$12*8*'Análisis Equipos'!$C$11)</f>
        <v>1113.2160000000001</v>
      </c>
      <c r="N11" s="720">
        <f t="shared" ref="N11:N18" si="2">+SUM(J11:M11)</f>
        <v>2181.8535000000002</v>
      </c>
    </row>
    <row r="12" spans="1:17">
      <c r="A12" s="90">
        <v>9</v>
      </c>
      <c r="B12" s="735" t="s">
        <v>104</v>
      </c>
      <c r="C12" s="736"/>
      <c r="D12" s="721">
        <v>150</v>
      </c>
      <c r="E12" s="972">
        <v>132000</v>
      </c>
      <c r="F12" s="973"/>
      <c r="G12" s="973"/>
      <c r="H12" s="974"/>
      <c r="I12" s="722">
        <f>+E12*'Análisis Equipos'!$C$6</f>
        <v>594000</v>
      </c>
      <c r="J12" s="718">
        <f t="shared" si="0"/>
        <v>427.68</v>
      </c>
      <c r="K12" s="719">
        <f>I12*('Análisis Equipos'!$C$10*8/2/2000)</f>
        <v>118.80000000000001</v>
      </c>
      <c r="L12" s="718">
        <f t="shared" si="1"/>
        <v>409.86</v>
      </c>
      <c r="M12" s="718">
        <f>+D12*((1+'Análisis Equipos'!$C$14)*'Análisis Equipos'!$C$12*8*'Análisis Equipos'!$C$11)</f>
        <v>1113.2160000000001</v>
      </c>
      <c r="N12" s="720">
        <f t="shared" si="2"/>
        <v>2069.556</v>
      </c>
    </row>
    <row r="13" spans="1:17">
      <c r="A13" s="90">
        <v>10</v>
      </c>
      <c r="B13" s="735" t="s">
        <v>105</v>
      </c>
      <c r="C13" s="736"/>
      <c r="D13" s="721">
        <v>215</v>
      </c>
      <c r="E13" s="972">
        <v>181000</v>
      </c>
      <c r="F13" s="973"/>
      <c r="G13" s="973"/>
      <c r="H13" s="974"/>
      <c r="I13" s="722">
        <f>+E13*'Análisis Equipos'!$C$6</f>
        <v>814500</v>
      </c>
      <c r="J13" s="718">
        <f t="shared" si="0"/>
        <v>586.44000000000005</v>
      </c>
      <c r="K13" s="719">
        <f>I13*('Análisis Equipos'!$C$10*8/2/2000)</f>
        <v>162.9</v>
      </c>
      <c r="L13" s="718">
        <f t="shared" si="1"/>
        <v>562.005</v>
      </c>
      <c r="M13" s="718">
        <f>+D13*((1+'Análisis Equipos'!$C$14)*'Análisis Equipos'!$C$12*8*'Análisis Equipos'!$C$11)</f>
        <v>1595.6096</v>
      </c>
      <c r="N13" s="720">
        <f t="shared" si="2"/>
        <v>2906.9546</v>
      </c>
    </row>
    <row r="14" spans="1:17">
      <c r="A14" s="90">
        <v>40</v>
      </c>
      <c r="B14" s="735" t="s">
        <v>106</v>
      </c>
      <c r="C14" s="736"/>
      <c r="D14" s="723">
        <v>145</v>
      </c>
      <c r="E14" s="972"/>
      <c r="F14" s="973"/>
      <c r="G14" s="973"/>
      <c r="H14" s="974"/>
      <c r="I14" s="724">
        <v>341651.4705882353</v>
      </c>
      <c r="J14" s="718">
        <f t="shared" si="0"/>
        <v>245.98905882352943</v>
      </c>
      <c r="K14" s="719">
        <f>I14*('Análisis Equipos'!$C$10*8/2/2000)</f>
        <v>68.330294117647057</v>
      </c>
      <c r="L14" s="718">
        <f t="shared" si="1"/>
        <v>235.73951470588236</v>
      </c>
      <c r="M14" s="718">
        <f>+D14*((1+'Análisis Equipos'!$C$14)*'Análisis Equipos'!$C$12*8*'Análisis Equipos'!$C$11)</f>
        <v>1076.1088</v>
      </c>
      <c r="N14" s="720">
        <f t="shared" si="2"/>
        <v>1626.1676676470588</v>
      </c>
    </row>
    <row r="15" spans="1:17">
      <c r="A15" s="90">
        <v>41</v>
      </c>
      <c r="B15" s="735" t="s">
        <v>107</v>
      </c>
      <c r="C15" s="736"/>
      <c r="D15" s="723">
        <v>160</v>
      </c>
      <c r="E15" s="972">
        <v>121950</v>
      </c>
      <c r="F15" s="973"/>
      <c r="G15" s="973"/>
      <c r="H15" s="974"/>
      <c r="I15" s="725">
        <f>+E15*'Análisis Equipos'!$C$6</f>
        <v>548775</v>
      </c>
      <c r="J15" s="718">
        <f t="shared" si="0"/>
        <v>395.11800000000005</v>
      </c>
      <c r="K15" s="719">
        <f>I15*('Análisis Equipos'!$C$10*8/2/2000)</f>
        <v>109.75500000000001</v>
      </c>
      <c r="L15" s="718">
        <f t="shared" si="1"/>
        <v>378.65475000000004</v>
      </c>
      <c r="M15" s="718">
        <f>+D15*((1+'Análisis Equipos'!$C$14)*'Análisis Equipos'!$C$12*8*'Análisis Equipos'!$C$11)</f>
        <v>1187.4304000000002</v>
      </c>
      <c r="N15" s="720">
        <f t="shared" si="2"/>
        <v>2070.9581500000004</v>
      </c>
      <c r="Q15" s="110"/>
    </row>
    <row r="16" spans="1:17">
      <c r="A16" s="90">
        <v>42</v>
      </c>
      <c r="B16" s="735" t="s">
        <v>108</v>
      </c>
      <c r="C16" s="736"/>
      <c r="D16" s="723">
        <v>90</v>
      </c>
      <c r="E16" s="972"/>
      <c r="F16" s="973"/>
      <c r="G16" s="973"/>
      <c r="H16" s="974"/>
      <c r="I16" s="724">
        <v>150000</v>
      </c>
      <c r="J16" s="718">
        <f t="shared" si="0"/>
        <v>108</v>
      </c>
      <c r="K16" s="719">
        <f>I16*('Análisis Equipos'!$C$10*8/2/2000)</f>
        <v>30</v>
      </c>
      <c r="L16" s="718">
        <f t="shared" si="1"/>
        <v>103.5</v>
      </c>
      <c r="M16" s="718">
        <f>+D16*((1+'Análisis Equipos'!$C$14)*'Análisis Equipos'!$C$12*8*'Análisis Equipos'!$C$11)</f>
        <v>667.92960000000005</v>
      </c>
      <c r="N16" s="720">
        <f t="shared" si="2"/>
        <v>909.42960000000005</v>
      </c>
      <c r="Q16" s="110"/>
    </row>
    <row r="17" spans="1:17">
      <c r="A17" s="90">
        <v>44</v>
      </c>
      <c r="B17" s="735" t="s">
        <v>109</v>
      </c>
      <c r="C17" s="736"/>
      <c r="D17" s="723">
        <v>0</v>
      </c>
      <c r="E17" s="972">
        <v>3400</v>
      </c>
      <c r="F17" s="973"/>
      <c r="G17" s="973"/>
      <c r="H17" s="974"/>
      <c r="I17" s="725">
        <f>+E17*'Análisis Equipos'!$C$6</f>
        <v>15300</v>
      </c>
      <c r="J17" s="718">
        <f t="shared" si="0"/>
        <v>11.016</v>
      </c>
      <c r="K17" s="719">
        <f>I17*('Análisis Equipos'!$C$10*8/2/2000)</f>
        <v>3.06</v>
      </c>
      <c r="L17" s="718">
        <f t="shared" si="1"/>
        <v>10.557</v>
      </c>
      <c r="M17" s="718">
        <f>+D17*((1+'Análisis Equipos'!$C$14)*'Análisis Equipos'!$C$12*8*'Análisis Equipos'!$C$11)</f>
        <v>0</v>
      </c>
      <c r="N17" s="720">
        <f t="shared" si="2"/>
        <v>24.633000000000003</v>
      </c>
      <c r="Q17" s="110"/>
    </row>
    <row r="18" spans="1:17">
      <c r="A18" s="90">
        <v>52</v>
      </c>
      <c r="B18" s="735" t="s">
        <v>110</v>
      </c>
      <c r="C18" s="736"/>
      <c r="D18" s="723">
        <v>120</v>
      </c>
      <c r="E18" s="972">
        <v>70000</v>
      </c>
      <c r="F18" s="973"/>
      <c r="G18" s="973"/>
      <c r="H18" s="974"/>
      <c r="I18" s="725">
        <f>+E18*'Análisis Equipos'!$C$6</f>
        <v>315000</v>
      </c>
      <c r="J18" s="718">
        <f t="shared" si="0"/>
        <v>226.8</v>
      </c>
      <c r="K18" s="719">
        <f>I18*('Análisis Equipos'!$C$10*8/2/2000)</f>
        <v>63</v>
      </c>
      <c r="L18" s="718">
        <f t="shared" si="1"/>
        <v>217.35000000000002</v>
      </c>
      <c r="M18" s="718">
        <f>+D18*((1+'Análisis Equipos'!$C$14)*'Análisis Equipos'!$C$12*8*'Análisis Equipos'!$C$11)</f>
        <v>890.57280000000003</v>
      </c>
      <c r="N18" s="720">
        <f t="shared" si="2"/>
        <v>1397.7228</v>
      </c>
    </row>
    <row r="19" spans="1:17">
      <c r="A19" s="90">
        <v>53</v>
      </c>
      <c r="B19" s="735" t="s">
        <v>330</v>
      </c>
      <c r="C19" s="736"/>
      <c r="D19" s="723">
        <v>150</v>
      </c>
      <c r="E19" s="972">
        <v>228000</v>
      </c>
      <c r="F19" s="973"/>
      <c r="G19" s="973"/>
      <c r="H19" s="974"/>
      <c r="I19" s="725">
        <f>+E19*'Análisis Equipos'!$C$6</f>
        <v>1026000</v>
      </c>
      <c r="J19" s="718">
        <f t="shared" ref="J19" si="3">I19*(0.9*8/10000)</f>
        <v>738.72</v>
      </c>
      <c r="K19" s="719">
        <f>I19*('Análisis Equipos'!$C$10*8/2/2000)</f>
        <v>205.20000000000002</v>
      </c>
      <c r="L19" s="718">
        <f t="shared" ref="L19" si="4">+(J19+K19)*0.75</f>
        <v>707.94</v>
      </c>
      <c r="M19" s="718">
        <f>+D19*((1+'Análisis Equipos'!$C$14)*'Análisis Equipos'!$C$12*8*'Análisis Equipos'!$C$11)</f>
        <v>1113.2160000000001</v>
      </c>
      <c r="N19" s="720">
        <f t="shared" ref="N19" si="5">+SUM(J19:M19)</f>
        <v>2765.076</v>
      </c>
    </row>
    <row r="20" spans="1:17">
      <c r="A20" s="90">
        <v>57</v>
      </c>
      <c r="B20" s="735" t="s">
        <v>111</v>
      </c>
      <c r="C20" s="736"/>
      <c r="D20" s="723">
        <v>98</v>
      </c>
      <c r="E20" s="972"/>
      <c r="F20" s="973"/>
      <c r="G20" s="973"/>
      <c r="H20" s="974"/>
      <c r="I20" s="724">
        <v>177658.76470588238</v>
      </c>
      <c r="J20" s="718">
        <f t="shared" ref="J20:J29" si="6">I20*(0.9*8/10000)</f>
        <v>127.91431058823532</v>
      </c>
      <c r="K20" s="719">
        <f>I20*('Análisis Equipos'!$C$10*8/2/2000)</f>
        <v>35.531752941176478</v>
      </c>
      <c r="L20" s="718">
        <f t="shared" ref="L20:L29" si="7">+(J20+K20)*0.75</f>
        <v>122.58454764705884</v>
      </c>
      <c r="M20" s="718">
        <f>+D20*((1+'Análisis Equipos'!$C$14)*'Análisis Equipos'!$C$12*8*'Análisis Equipos'!$C$11)</f>
        <v>727.30112000000008</v>
      </c>
      <c r="N20" s="720">
        <f t="shared" ref="N20:N29" si="8">+SUM(J20:M20)</f>
        <v>1013.3317311764707</v>
      </c>
    </row>
    <row r="21" spans="1:17">
      <c r="A21" s="90">
        <v>58</v>
      </c>
      <c r="B21" s="735" t="s">
        <v>112</v>
      </c>
      <c r="C21" s="736"/>
      <c r="D21" s="723">
        <v>0</v>
      </c>
      <c r="E21" s="972">
        <v>10000</v>
      </c>
      <c r="F21" s="973"/>
      <c r="G21" s="973"/>
      <c r="H21" s="974"/>
      <c r="I21" s="725">
        <f>+E21*'Análisis Equipos'!$C$6</f>
        <v>45000</v>
      </c>
      <c r="J21" s="718">
        <f t="shared" si="6"/>
        <v>32.4</v>
      </c>
      <c r="K21" s="719">
        <f>I21*('Análisis Equipos'!$C$10*8/2/2000)</f>
        <v>9</v>
      </c>
      <c r="L21" s="718">
        <f t="shared" si="7"/>
        <v>31.049999999999997</v>
      </c>
      <c r="M21" s="718">
        <f>+D21*((1+'Análisis Equipos'!$C$14)*'Análisis Equipos'!$C$12*8*'Análisis Equipos'!$C$11)</f>
        <v>0</v>
      </c>
      <c r="N21" s="720">
        <f t="shared" si="8"/>
        <v>72.449999999999989</v>
      </c>
    </row>
    <row r="22" spans="1:17">
      <c r="A22" s="90">
        <v>59</v>
      </c>
      <c r="B22" s="735" t="s">
        <v>113</v>
      </c>
      <c r="C22" s="736"/>
      <c r="D22" s="723">
        <v>0</v>
      </c>
      <c r="E22" s="972">
        <v>1700</v>
      </c>
      <c r="F22" s="973"/>
      <c r="G22" s="973"/>
      <c r="H22" s="974"/>
      <c r="I22" s="725">
        <f>+E22*'Análisis Equipos'!$C$6</f>
        <v>7650</v>
      </c>
      <c r="J22" s="718">
        <f t="shared" si="6"/>
        <v>5.508</v>
      </c>
      <c r="K22" s="719">
        <f>I22*('Análisis Equipos'!$C$10*8/2/2000)</f>
        <v>1.53</v>
      </c>
      <c r="L22" s="718">
        <f t="shared" si="7"/>
        <v>5.2785000000000002</v>
      </c>
      <c r="M22" s="718">
        <f>+D22*((1+'Análisis Equipos'!$C$14)*'Análisis Equipos'!$C$12*8*'Análisis Equipos'!$C$11)</f>
        <v>0</v>
      </c>
      <c r="N22" s="720">
        <f t="shared" si="8"/>
        <v>12.316500000000001</v>
      </c>
    </row>
    <row r="23" spans="1:17">
      <c r="A23" s="90">
        <v>67</v>
      </c>
      <c r="B23" s="735" t="s">
        <v>114</v>
      </c>
      <c r="C23" s="736"/>
      <c r="D23" s="723">
        <v>127</v>
      </c>
      <c r="E23" s="972">
        <v>200000</v>
      </c>
      <c r="F23" s="973"/>
      <c r="G23" s="973"/>
      <c r="H23" s="974"/>
      <c r="I23" s="725">
        <f>+E23*'Análisis Equipos'!$C$6</f>
        <v>900000</v>
      </c>
      <c r="J23" s="718">
        <f t="shared" si="6"/>
        <v>648</v>
      </c>
      <c r="K23" s="719">
        <f>I23*('Análisis Equipos'!$C$10*8/2/2000)</f>
        <v>180</v>
      </c>
      <c r="L23" s="718">
        <f t="shared" si="7"/>
        <v>621</v>
      </c>
      <c r="M23" s="718">
        <f>+D23*((1+'Análisis Equipos'!$C$14)*'Análisis Equipos'!$C$12*8*'Análisis Equipos'!$C$11)</f>
        <v>942.5228800000001</v>
      </c>
      <c r="N23" s="720">
        <f t="shared" si="8"/>
        <v>2391.52288</v>
      </c>
    </row>
    <row r="24" spans="1:17">
      <c r="A24" s="90">
        <v>68</v>
      </c>
      <c r="B24" s="735" t="s">
        <v>115</v>
      </c>
      <c r="C24" s="736"/>
      <c r="D24" s="723">
        <v>2</v>
      </c>
      <c r="E24" s="972"/>
      <c r="F24" s="973"/>
      <c r="G24" s="973"/>
      <c r="H24" s="974"/>
      <c r="I24" s="724">
        <v>7516.3323529411764</v>
      </c>
      <c r="J24" s="718">
        <f t="shared" si="6"/>
        <v>5.4117592941176476</v>
      </c>
      <c r="K24" s="719">
        <f>I24*('Análisis Equipos'!$C$10*8/2/2000)</f>
        <v>1.5032664705882353</v>
      </c>
      <c r="L24" s="718">
        <f t="shared" si="7"/>
        <v>5.1862693235294124</v>
      </c>
      <c r="M24" s="718">
        <f>+D24*((1+'Análisis Equipos'!$C$14)*'Análisis Equipos'!$C$12*8*'Análisis Equipos'!$C$11)</f>
        <v>14.842880000000001</v>
      </c>
      <c r="N24" s="720">
        <f t="shared" si="8"/>
        <v>26.944175088235298</v>
      </c>
    </row>
    <row r="25" spans="1:17">
      <c r="A25" s="90">
        <v>70</v>
      </c>
      <c r="B25" s="735" t="s">
        <v>116</v>
      </c>
      <c r="C25" s="736"/>
      <c r="D25" s="723">
        <v>3</v>
      </c>
      <c r="E25" s="972"/>
      <c r="F25" s="973"/>
      <c r="G25" s="973"/>
      <c r="H25" s="974"/>
      <c r="I25" s="724">
        <v>26181.82</v>
      </c>
      <c r="J25" s="718">
        <f t="shared" si="6"/>
        <v>18.8509104</v>
      </c>
      <c r="K25" s="719">
        <f>I25*('Análisis Equipos'!$C$10*8/2/2000)</f>
        <v>5.236364</v>
      </c>
      <c r="L25" s="718">
        <f t="shared" si="7"/>
        <v>18.065455799999999</v>
      </c>
      <c r="M25" s="718">
        <f>+D25*((1+'Análisis Equipos'!$C$14)*'Análisis Equipos'!$C$12*8*'Análisis Equipos'!$C$11)</f>
        <v>22.264320000000001</v>
      </c>
      <c r="N25" s="720">
        <f t="shared" si="8"/>
        <v>64.417050199999991</v>
      </c>
    </row>
    <row r="26" spans="1:17">
      <c r="A26" s="90">
        <v>71</v>
      </c>
      <c r="B26" s="735" t="s">
        <v>117</v>
      </c>
      <c r="C26" s="736"/>
      <c r="D26" s="723">
        <v>3</v>
      </c>
      <c r="E26" s="972"/>
      <c r="F26" s="973"/>
      <c r="G26" s="973"/>
      <c r="H26" s="974"/>
      <c r="I26" s="724">
        <v>32000</v>
      </c>
      <c r="J26" s="718">
        <f t="shared" si="6"/>
        <v>23.040000000000003</v>
      </c>
      <c r="K26" s="719">
        <f>I26*('Análisis Equipos'!$C$10*8/2/2000)</f>
        <v>6.4</v>
      </c>
      <c r="L26" s="718">
        <f t="shared" si="7"/>
        <v>22.080000000000005</v>
      </c>
      <c r="M26" s="718">
        <f>+D26*((1+'Análisis Equipos'!$C$14)*'Análisis Equipos'!$C$12*8*'Análisis Equipos'!$C$11)</f>
        <v>22.264320000000001</v>
      </c>
      <c r="N26" s="720">
        <f t="shared" si="8"/>
        <v>73.784320000000008</v>
      </c>
    </row>
    <row r="27" spans="1:17">
      <c r="A27" s="90">
        <v>74</v>
      </c>
      <c r="B27" s="735" t="s">
        <v>118</v>
      </c>
      <c r="C27" s="736"/>
      <c r="D27" s="726">
        <v>80</v>
      </c>
      <c r="E27" s="975"/>
      <c r="F27" s="976"/>
      <c r="G27" s="976"/>
      <c r="H27" s="977"/>
      <c r="I27" s="727">
        <v>273321.17647058825</v>
      </c>
      <c r="J27" s="718">
        <f t="shared" si="6"/>
        <v>196.79124705882356</v>
      </c>
      <c r="K27" s="719">
        <f>I27*('Análisis Equipos'!$C$10*8/2/2000)</f>
        <v>54.664235294117653</v>
      </c>
      <c r="L27" s="718">
        <f t="shared" si="7"/>
        <v>188.5916117647059</v>
      </c>
      <c r="M27" s="718">
        <f>+D27*((1+'Análisis Equipos'!$C$14)*'Análisis Equipos'!$C$12*8*'Análisis Equipos'!$C$11)</f>
        <v>593.7152000000001</v>
      </c>
      <c r="N27" s="720">
        <f t="shared" si="8"/>
        <v>1033.7622941176473</v>
      </c>
    </row>
    <row r="28" spans="1:17">
      <c r="A28" s="90">
        <v>82</v>
      </c>
      <c r="B28" s="735" t="s">
        <v>119</v>
      </c>
      <c r="C28" s="736"/>
      <c r="D28" s="723">
        <v>5.5</v>
      </c>
      <c r="E28" s="972"/>
      <c r="F28" s="973"/>
      <c r="G28" s="973"/>
      <c r="H28" s="974"/>
      <c r="I28" s="724">
        <v>15618.352941176472</v>
      </c>
      <c r="J28" s="718">
        <f t="shared" si="6"/>
        <v>11.245214117647061</v>
      </c>
      <c r="K28" s="719">
        <f>I28*('Análisis Equipos'!$C$10*8/2/2000)</f>
        <v>3.1236705882352944</v>
      </c>
      <c r="L28" s="718">
        <f t="shared" si="7"/>
        <v>10.776663529411767</v>
      </c>
      <c r="M28" s="718">
        <f>+D28*((1+'Análisis Equipos'!$C$14)*'Análisis Equipos'!$C$12*8*'Análisis Equipos'!$C$11)</f>
        <v>40.817920000000001</v>
      </c>
      <c r="N28" s="720">
        <f t="shared" si="8"/>
        <v>65.96346823529413</v>
      </c>
    </row>
    <row r="29" spans="1:17" ht="15.75" thickBot="1">
      <c r="A29" s="90">
        <v>92</v>
      </c>
      <c r="B29" s="735" t="s">
        <v>281</v>
      </c>
      <c r="C29" s="736"/>
      <c r="D29" s="728">
        <v>140</v>
      </c>
      <c r="E29" s="978">
        <v>47000</v>
      </c>
      <c r="F29" s="978"/>
      <c r="G29" s="978"/>
      <c r="H29" s="979"/>
      <c r="I29" s="729">
        <f>+E29*'Análisis Equipos'!$C$6</f>
        <v>211500</v>
      </c>
      <c r="J29" s="730">
        <f t="shared" si="6"/>
        <v>152.28</v>
      </c>
      <c r="K29" s="731">
        <f>I29*('Análisis Equipos'!$C$10*8/2/2000)</f>
        <v>42.300000000000004</v>
      </c>
      <c r="L29" s="730">
        <f t="shared" si="7"/>
        <v>145.935</v>
      </c>
      <c r="M29" s="730">
        <f>+D29*((1+'Análisis Equipos'!$C$14)*'Análisis Equipos'!$C$12*8*'Análisis Equipos'!$C$11)</f>
        <v>1039.0016000000001</v>
      </c>
      <c r="N29" s="732">
        <f t="shared" si="8"/>
        <v>1379.5165999999999</v>
      </c>
    </row>
    <row r="30" spans="1:17" ht="15.75" thickTop="1"/>
  </sheetData>
  <mergeCells count="33">
    <mergeCell ref="E27:H27"/>
    <mergeCell ref="E28:H28"/>
    <mergeCell ref="E29:H29"/>
    <mergeCell ref="E22:H22"/>
    <mergeCell ref="E24:H24"/>
    <mergeCell ref="E23:H23"/>
    <mergeCell ref="E25:H25"/>
    <mergeCell ref="E26:H26"/>
    <mergeCell ref="E17:H17"/>
    <mergeCell ref="E16:H16"/>
    <mergeCell ref="E18:H18"/>
    <mergeCell ref="E20:H20"/>
    <mergeCell ref="E21:H21"/>
    <mergeCell ref="E19:H19"/>
    <mergeCell ref="E9:H9"/>
    <mergeCell ref="E11:H11"/>
    <mergeCell ref="E12:H12"/>
    <mergeCell ref="E13:H13"/>
    <mergeCell ref="E15:H15"/>
    <mergeCell ref="E14:H14"/>
    <mergeCell ref="E10:H10"/>
    <mergeCell ref="B5:N5"/>
    <mergeCell ref="B6:N6"/>
    <mergeCell ref="B7:B8"/>
    <mergeCell ref="B2:N2"/>
    <mergeCell ref="E7:H8"/>
    <mergeCell ref="I7:I8"/>
    <mergeCell ref="N7:N8"/>
    <mergeCell ref="J7:J8"/>
    <mergeCell ref="K7:K8"/>
    <mergeCell ref="L7:L8"/>
    <mergeCell ref="M7:M8"/>
    <mergeCell ref="D7:D8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landscape" r:id="rId1"/>
  <headerFooter scaleWithDoc="0">
    <oddFooter>&amp;L&amp;"Arial,Normal"&amp;10Análisis de Precios&amp;R&amp;"Arial,Normal"&amp;10Pág.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I15"/>
  <sheetViews>
    <sheetView showGridLines="0" view="pageBreakPreview" zoomScaleNormal="100" zoomScaleSheetLayoutView="100" workbookViewId="0">
      <selection activeCell="U16" sqref="U16"/>
    </sheetView>
  </sheetViews>
  <sheetFormatPr baseColWidth="10" defaultRowHeight="15"/>
  <cols>
    <col min="1" max="1" width="6.28515625" customWidth="1"/>
    <col min="2" max="2" width="43" customWidth="1"/>
    <col min="3" max="3" width="8.140625" customWidth="1"/>
    <col min="4" max="4" width="21.140625" customWidth="1"/>
    <col min="5" max="5" width="16.28515625" customWidth="1"/>
  </cols>
  <sheetData>
    <row r="1" spans="1:9" s="264" customFormat="1" ht="13.5">
      <c r="B1" s="5"/>
      <c r="C1" s="5"/>
      <c r="G1" s="704"/>
      <c r="H1" s="8"/>
      <c r="I1" s="8"/>
    </row>
    <row r="2" spans="1:9" s="264" customFormat="1" ht="60.75" customHeight="1">
      <c r="A2" s="913" t="s">
        <v>356</v>
      </c>
      <c r="B2" s="913"/>
      <c r="C2" s="913"/>
      <c r="D2" s="913"/>
      <c r="E2" s="913"/>
      <c r="F2" s="706"/>
      <c r="G2" s="706"/>
      <c r="H2" s="706"/>
    </row>
    <row r="3" spans="1:9" s="264" customFormat="1" ht="16.5" customHeight="1">
      <c r="A3" s="705"/>
      <c r="B3" s="705"/>
      <c r="C3" s="705"/>
      <c r="D3" s="705"/>
      <c r="E3" s="705"/>
      <c r="F3" s="706"/>
      <c r="G3" s="706"/>
      <c r="H3" s="706"/>
    </row>
    <row r="4" spans="1:9" s="264" customFormat="1" ht="16.5" customHeight="1" thickBot="1">
      <c r="A4" s="705"/>
      <c r="B4" s="705"/>
      <c r="C4" s="705"/>
      <c r="D4" s="705"/>
      <c r="E4" s="705"/>
      <c r="F4" s="706"/>
      <c r="G4" s="706"/>
      <c r="H4" s="706"/>
    </row>
    <row r="5" spans="1:9" ht="33" customHeight="1" thickTop="1" thickBot="1">
      <c r="B5" s="980" t="s">
        <v>120</v>
      </c>
      <c r="C5" s="981"/>
      <c r="D5" s="982"/>
    </row>
    <row r="6" spans="1:9" ht="15.75" thickTop="1">
      <c r="B6" s="91" t="s">
        <v>121</v>
      </c>
      <c r="C6" s="92">
        <v>4.5</v>
      </c>
      <c r="D6" s="93" t="s">
        <v>279</v>
      </c>
    </row>
    <row r="7" spans="1:9">
      <c r="B7" s="94" t="s">
        <v>122</v>
      </c>
      <c r="C7" s="95">
        <v>0.1</v>
      </c>
      <c r="D7" s="96"/>
    </row>
    <row r="8" spans="1:9">
      <c r="B8" s="94" t="s">
        <v>123</v>
      </c>
      <c r="C8" s="97">
        <v>8</v>
      </c>
      <c r="D8" s="98" t="s">
        <v>124</v>
      </c>
    </row>
    <row r="9" spans="1:9">
      <c r="B9" s="94" t="s">
        <v>125</v>
      </c>
      <c r="C9" s="99">
        <v>10000</v>
      </c>
      <c r="D9" s="98" t="s">
        <v>124</v>
      </c>
    </row>
    <row r="10" spans="1:9">
      <c r="B10" s="94" t="s">
        <v>126</v>
      </c>
      <c r="C10" s="95">
        <v>0.1</v>
      </c>
      <c r="D10" s="98"/>
    </row>
    <row r="11" spans="1:9">
      <c r="B11" s="94" t="s">
        <v>127</v>
      </c>
      <c r="C11" s="100">
        <v>4.46</v>
      </c>
      <c r="D11" s="98" t="s">
        <v>128</v>
      </c>
      <c r="F11" t="s">
        <v>280</v>
      </c>
    </row>
    <row r="12" spans="1:9">
      <c r="B12" s="94" t="s">
        <v>129</v>
      </c>
      <c r="C12" s="100">
        <v>0.16</v>
      </c>
      <c r="D12" s="98" t="s">
        <v>130</v>
      </c>
    </row>
    <row r="13" spans="1:9">
      <c r="B13" s="101" t="s">
        <v>131</v>
      </c>
      <c r="C13" s="102">
        <v>0.75</v>
      </c>
      <c r="D13" s="103"/>
    </row>
    <row r="14" spans="1:9" ht="15.75" thickBot="1">
      <c r="B14" s="104" t="s">
        <v>132</v>
      </c>
      <c r="C14" s="105">
        <v>0.3</v>
      </c>
      <c r="D14" s="106"/>
    </row>
    <row r="15" spans="1:9" ht="15.75" thickTop="1"/>
  </sheetData>
  <mergeCells count="2">
    <mergeCell ref="B5:D5"/>
    <mergeCell ref="A2:E2"/>
  </mergeCell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&amp;L&amp;"Arial,Normal"&amp;10Análisis de Precios&amp;R&amp;"Arial,Normal"&amp;10Pág. &amp;P de &amp;N 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33"/>
  <sheetViews>
    <sheetView showGridLines="0" view="pageBreakPreview" topLeftCell="A16" zoomScaleNormal="100" zoomScaleSheetLayoutView="100" workbookViewId="0">
      <selection activeCell="U16" sqref="U16"/>
    </sheetView>
  </sheetViews>
  <sheetFormatPr baseColWidth="10" defaultColWidth="11" defaultRowHeight="13.5"/>
  <cols>
    <col min="1" max="1" width="4.7109375" style="150" customWidth="1"/>
    <col min="2" max="2" width="2.42578125" style="151" customWidth="1"/>
    <col min="3" max="3" width="36.85546875" style="151" customWidth="1"/>
    <col min="4" max="4" width="6.7109375" style="150" customWidth="1"/>
    <col min="5" max="5" width="10" style="151" customWidth="1"/>
    <col min="6" max="6" width="9" style="151" customWidth="1"/>
    <col min="7" max="7" width="5" style="151" customWidth="1"/>
    <col min="8" max="8" width="9.7109375" style="151" customWidth="1"/>
    <col min="9" max="9" width="3.28515625" style="151" customWidth="1"/>
    <col min="10" max="10" width="9.140625" style="153" bestFit="1" customWidth="1"/>
    <col min="11" max="11" width="4.85546875" style="154" customWidth="1"/>
    <col min="12" max="12" width="11" style="150" hidden="1" customWidth="1"/>
    <col min="13" max="13" width="18.85546875" style="151" hidden="1" customWidth="1"/>
    <col min="14" max="18" width="11" style="151" hidden="1" customWidth="1"/>
    <col min="19" max="19" width="12.28515625" style="150" hidden="1" customWidth="1"/>
    <col min="20" max="20" width="0" style="151" hidden="1" customWidth="1"/>
    <col min="21" max="16384" width="11" style="151"/>
  </cols>
  <sheetData>
    <row r="1" spans="1:22" s="264" customFormat="1">
      <c r="B1" s="5"/>
      <c r="C1" s="5"/>
      <c r="G1" s="704"/>
      <c r="H1" s="8"/>
      <c r="I1" s="8"/>
    </row>
    <row r="2" spans="1:22" s="264" customFormat="1" ht="60.75" customHeight="1">
      <c r="B2" s="956" t="s">
        <v>353</v>
      </c>
      <c r="C2" s="956"/>
      <c r="D2" s="956"/>
      <c r="E2" s="956"/>
      <c r="F2" s="956"/>
      <c r="G2" s="956"/>
      <c r="H2" s="956"/>
      <c r="I2" s="956"/>
      <c r="J2" s="956"/>
      <c r="K2" s="956"/>
    </row>
    <row r="3" spans="1:22" s="742" customFormat="1" ht="16.5" customHeight="1">
      <c r="B3" s="740"/>
      <c r="C3" s="740"/>
      <c r="D3" s="740"/>
      <c r="E3" s="740"/>
      <c r="F3" s="740"/>
      <c r="G3" s="740"/>
      <c r="H3" s="740"/>
      <c r="I3" s="740"/>
      <c r="J3" s="740"/>
      <c r="K3" s="740"/>
    </row>
    <row r="4" spans="1:22" s="742" customFormat="1" ht="16.5" customHeight="1" thickBot="1">
      <c r="B4" s="741"/>
      <c r="C4" s="741"/>
      <c r="D4" s="741"/>
      <c r="E4" s="741"/>
      <c r="F4" s="741"/>
      <c r="G4" s="741"/>
      <c r="H4" s="741"/>
      <c r="I4" s="741"/>
      <c r="J4" s="741"/>
      <c r="K4" s="741"/>
    </row>
    <row r="5" spans="1:22" s="108" customFormat="1" ht="20.25" customHeight="1" thickTop="1" thickBot="1">
      <c r="A5" s="107"/>
      <c r="B5" s="986" t="s">
        <v>324</v>
      </c>
      <c r="C5" s="987"/>
      <c r="D5" s="987"/>
      <c r="E5" s="987"/>
      <c r="F5" s="987"/>
      <c r="G5" s="987"/>
      <c r="H5" s="987"/>
      <c r="I5" s="987"/>
      <c r="J5" s="987"/>
      <c r="K5" s="988"/>
      <c r="L5" s="107"/>
      <c r="S5" s="107"/>
      <c r="V5" s="305" t="s">
        <v>2</v>
      </c>
    </row>
    <row r="6" spans="1:22" s="114" customFormat="1" ht="15" customHeight="1" thickTop="1">
      <c r="A6" s="110"/>
      <c r="B6" s="265" t="s">
        <v>133</v>
      </c>
      <c r="C6" s="434"/>
      <c r="D6" s="435" t="s">
        <v>134</v>
      </c>
      <c r="E6" s="435"/>
      <c r="F6" s="434" t="s">
        <v>135</v>
      </c>
      <c r="G6" s="435"/>
      <c r="H6" s="434" t="s">
        <v>136</v>
      </c>
      <c r="I6" s="435"/>
      <c r="J6" s="434"/>
      <c r="K6" s="436"/>
      <c r="L6" s="112"/>
      <c r="M6" s="113"/>
      <c r="N6" s="113"/>
      <c r="O6" s="113"/>
      <c r="P6" s="110" t="s">
        <v>137</v>
      </c>
      <c r="Q6" s="110" t="s">
        <v>138</v>
      </c>
      <c r="R6" s="110" t="s">
        <v>139</v>
      </c>
      <c r="S6" s="110" t="s">
        <v>140</v>
      </c>
      <c r="V6" s="109" t="s">
        <v>141</v>
      </c>
    </row>
    <row r="7" spans="1:22" s="114" customFormat="1" ht="15" customHeight="1">
      <c r="A7" s="110">
        <v>2</v>
      </c>
      <c r="B7" s="472">
        <v>1</v>
      </c>
      <c r="C7" s="188" t="str">
        <f>VLOOKUP(A7,'Costo Equipos'!$1:$1048576,2,0)</f>
        <v>Motoniveladora con escarificador</v>
      </c>
      <c r="D7" s="438">
        <f>VLOOKUP(A7,'Costo Equipos'!$1:$1048576,4,0)</f>
        <v>190</v>
      </c>
      <c r="E7" s="439" t="s">
        <v>142</v>
      </c>
      <c r="F7" s="440">
        <f>VLOOKUP(A7,'Costo Equipos'!$1:$1048576,14,0)</f>
        <v>4670.3235999999997</v>
      </c>
      <c r="G7" s="441" t="s">
        <v>143</v>
      </c>
      <c r="H7" s="442">
        <f t="shared" ref="H7:H12" si="0">+F7*B7</f>
        <v>4670.3235999999997</v>
      </c>
      <c r="I7" s="441" t="s">
        <v>143</v>
      </c>
      <c r="J7" s="443"/>
      <c r="K7" s="700"/>
      <c r="L7" s="112"/>
      <c r="M7" s="113"/>
      <c r="N7" s="113"/>
      <c r="O7" s="113"/>
      <c r="P7" s="110"/>
      <c r="Q7" s="110"/>
      <c r="R7" s="110"/>
      <c r="S7" s="110"/>
      <c r="V7" s="305"/>
    </row>
    <row r="8" spans="1:22" s="114" customFormat="1" ht="15" customHeight="1">
      <c r="A8" s="110">
        <v>9</v>
      </c>
      <c r="B8" s="472">
        <v>1</v>
      </c>
      <c r="C8" s="188" t="str">
        <f>VLOOKUP(A8,'Costo Equipos'!$1:$1048576,2,0)</f>
        <v>Cargador frontal Hyundai, HL740-7 (2,1m³)</v>
      </c>
      <c r="D8" s="438">
        <f>VLOOKUP(A8,'Costo Equipos'!$1:$1048576,4,0)</f>
        <v>150</v>
      </c>
      <c r="E8" s="439" t="s">
        <v>142</v>
      </c>
      <c r="F8" s="440">
        <f>VLOOKUP(A8,'Costo Equipos'!$1:$1048576,14,0)</f>
        <v>2069.556</v>
      </c>
      <c r="G8" s="441" t="s">
        <v>143</v>
      </c>
      <c r="H8" s="442">
        <f t="shared" si="0"/>
        <v>2069.556</v>
      </c>
      <c r="I8" s="441" t="s">
        <v>143</v>
      </c>
      <c r="J8" s="443"/>
      <c r="K8" s="473"/>
      <c r="L8" s="112">
        <v>7</v>
      </c>
      <c r="M8" s="113" t="e">
        <f>+LOOKUP(L8,#REF!,#REF!)</f>
        <v>#REF!</v>
      </c>
      <c r="N8" s="113"/>
      <c r="O8" s="113"/>
      <c r="P8" s="118" t="e">
        <f>+(LOOKUP(L8,#REF!,#REF!))*B8</f>
        <v>#REF!</v>
      </c>
      <c r="Q8" s="118" t="e">
        <f>+(LOOKUP(L8,#REF!,#REF!))*B8</f>
        <v>#REF!</v>
      </c>
      <c r="R8" s="118" t="e">
        <f>+(LOOKUP(L8,#REF!,#REF!))*B8</f>
        <v>#REF!</v>
      </c>
      <c r="S8" s="118" t="e">
        <f>+(LOOKUP(L8,#REF!,#REF!))*B8</f>
        <v>#REF!</v>
      </c>
      <c r="T8" s="119" t="e">
        <f>+#REF!+#REF!+#REF!+#REF!</f>
        <v>#REF!</v>
      </c>
    </row>
    <row r="9" spans="1:22" s="114" customFormat="1" ht="15" customHeight="1">
      <c r="A9" s="110">
        <v>44</v>
      </c>
      <c r="B9" s="472">
        <v>3</v>
      </c>
      <c r="C9" s="188" t="str">
        <f>VLOOKUP(A9,'Costo Equipos'!$1:$1048576,2,0)</f>
        <v>Herramientas menores</v>
      </c>
      <c r="D9" s="438">
        <f>VLOOKUP(A9,'Costo Equipos'!$1:$1048576,4,0)</f>
        <v>0</v>
      </c>
      <c r="E9" s="439" t="s">
        <v>142</v>
      </c>
      <c r="F9" s="440">
        <f>VLOOKUP(A9,'Costo Equipos'!$1:$1048576,14,0)</f>
        <v>24.633000000000003</v>
      </c>
      <c r="G9" s="441" t="s">
        <v>143</v>
      </c>
      <c r="H9" s="442">
        <f t="shared" si="0"/>
        <v>73.899000000000001</v>
      </c>
      <c r="I9" s="441" t="s">
        <v>143</v>
      </c>
      <c r="J9" s="443"/>
      <c r="K9" s="473"/>
      <c r="L9" s="112"/>
      <c r="M9" s="113"/>
      <c r="N9" s="113"/>
      <c r="O9" s="113"/>
      <c r="P9" s="327"/>
      <c r="Q9" s="327"/>
      <c r="R9" s="327"/>
      <c r="S9" s="327"/>
      <c r="T9" s="119"/>
    </row>
    <row r="10" spans="1:22" s="114" customFormat="1" ht="15" customHeight="1">
      <c r="A10" s="110">
        <v>41</v>
      </c>
      <c r="B10" s="472">
        <v>1</v>
      </c>
      <c r="C10" s="188" t="str">
        <f>VLOOKUP(A10,'Costo Equipos'!$1:$1048576,2,0)</f>
        <v>Camion Volcador 15 t</v>
      </c>
      <c r="D10" s="438">
        <f>VLOOKUP(A10,'Costo Equipos'!$1:$1048576,4,0)</f>
        <v>160</v>
      </c>
      <c r="E10" s="439" t="s">
        <v>142</v>
      </c>
      <c r="F10" s="440">
        <f>VLOOKUP(A10,'Costo Equipos'!$1:$1048576,14,0)</f>
        <v>2070.9581500000004</v>
      </c>
      <c r="G10" s="441" t="str">
        <f>+G8</f>
        <v>$/d</v>
      </c>
      <c r="H10" s="442">
        <f t="shared" si="0"/>
        <v>2070.9581500000004</v>
      </c>
      <c r="I10" s="441" t="s">
        <v>143</v>
      </c>
      <c r="J10" s="443"/>
      <c r="K10" s="473"/>
      <c r="L10" s="112">
        <v>1</v>
      </c>
      <c r="M10" s="113" t="e">
        <f>+LOOKUP(L10,#REF!,#REF!)</f>
        <v>#REF!</v>
      </c>
      <c r="N10" s="113"/>
      <c r="O10" s="113"/>
      <c r="P10" s="118" t="e">
        <f>+(LOOKUP(L10,#REF!,#REF!))*B10</f>
        <v>#REF!</v>
      </c>
      <c r="Q10" s="118" t="e">
        <f>+(LOOKUP(L10,#REF!,#REF!))*B10</f>
        <v>#REF!</v>
      </c>
      <c r="R10" s="118" t="e">
        <f>+(LOOKUP(L10,#REF!,#REF!))*B10</f>
        <v>#REF!</v>
      </c>
      <c r="S10" s="118" t="e">
        <f>+(LOOKUP(L10,#REF!,#REF!))*B10</f>
        <v>#REF!</v>
      </c>
      <c r="T10" s="119" t="e">
        <f>+S8+R8+Q8+P8</f>
        <v>#REF!</v>
      </c>
    </row>
    <row r="11" spans="1:22" s="114" customFormat="1" ht="15" customHeight="1">
      <c r="A11" s="110">
        <v>52</v>
      </c>
      <c r="B11" s="472">
        <v>1</v>
      </c>
      <c r="C11" s="188" t="str">
        <f>VLOOKUP(A11,'Costo Equipos'!$1:$1048576,2,0)</f>
        <v>Tractor s/neumáticos</v>
      </c>
      <c r="D11" s="438">
        <f>VLOOKUP(A11,'Costo Equipos'!$1:$1048576,4,0)</f>
        <v>120</v>
      </c>
      <c r="E11" s="439" t="s">
        <v>142</v>
      </c>
      <c r="F11" s="440">
        <f>VLOOKUP(A11,'Costo Equipos'!$1:$1048576,14,0)</f>
        <v>1397.7228</v>
      </c>
      <c r="G11" s="441" t="str">
        <f>+G10</f>
        <v>$/d</v>
      </c>
      <c r="H11" s="442">
        <f t="shared" si="0"/>
        <v>1397.7228</v>
      </c>
      <c r="I11" s="441" t="s">
        <v>143</v>
      </c>
      <c r="J11" s="443"/>
      <c r="K11" s="473"/>
      <c r="L11" s="112">
        <v>20</v>
      </c>
      <c r="M11" s="113" t="e">
        <f>+LOOKUP(L11,#REF!,#REF!)</f>
        <v>#REF!</v>
      </c>
      <c r="N11" s="113"/>
      <c r="O11" s="113"/>
      <c r="P11" s="118" t="e">
        <f>+(LOOKUP(L11,#REF!,#REF!))*B11</f>
        <v>#REF!</v>
      </c>
      <c r="Q11" s="118" t="e">
        <f>+(LOOKUP(L11,#REF!,#REF!))*B11</f>
        <v>#REF!</v>
      </c>
      <c r="R11" s="118" t="e">
        <f>+(LOOKUP(L11,#REF!,#REF!))*B11</f>
        <v>#REF!</v>
      </c>
      <c r="S11" s="118" t="e">
        <f>+(LOOKUP(L11,#REF!,#REF!))*B11</f>
        <v>#REF!</v>
      </c>
      <c r="T11" s="119" t="e">
        <f>+S10+R10+Q10+P10</f>
        <v>#REF!</v>
      </c>
    </row>
    <row r="12" spans="1:22" s="114" customFormat="1" ht="15" customHeight="1">
      <c r="A12" s="110">
        <v>53</v>
      </c>
      <c r="B12" s="472">
        <v>1</v>
      </c>
      <c r="C12" s="188" t="str">
        <f>VLOOKUP(A12,'Costo Equipos'!$1:$1048576,2,0)</f>
        <v>Tractor a orugas con topadora D6 (c/cabina)</v>
      </c>
      <c r="D12" s="438">
        <f>VLOOKUP(A12,'Costo Equipos'!$1:$1048576,4,0)</f>
        <v>150</v>
      </c>
      <c r="E12" s="439" t="s">
        <v>142</v>
      </c>
      <c r="F12" s="440">
        <f>VLOOKUP(A12,'Costo Equipos'!$1:$1048576,14,0)</f>
        <v>2765.076</v>
      </c>
      <c r="G12" s="441" t="str">
        <f>+G11</f>
        <v>$/d</v>
      </c>
      <c r="H12" s="475">
        <f t="shared" si="0"/>
        <v>2765.076</v>
      </c>
      <c r="I12" s="462" t="s">
        <v>143</v>
      </c>
      <c r="J12" s="443"/>
      <c r="K12" s="473"/>
      <c r="L12" s="112"/>
      <c r="M12" s="113"/>
      <c r="N12" s="113"/>
      <c r="O12" s="113"/>
      <c r="P12" s="124"/>
      <c r="Q12" s="701"/>
      <c r="R12" s="701"/>
      <c r="S12" s="702"/>
      <c r="T12" s="119"/>
    </row>
    <row r="13" spans="1:22" s="114" customFormat="1" ht="15" customHeight="1">
      <c r="A13" s="110"/>
      <c r="B13" s="445"/>
      <c r="C13" s="446"/>
      <c r="D13" s="447">
        <f>SUMPRODUCT(B7:B12,D7:D12)</f>
        <v>770</v>
      </c>
      <c r="E13" s="448" t="s">
        <v>142</v>
      </c>
      <c r="F13" s="476"/>
      <c r="G13" s="443"/>
      <c r="H13" s="466">
        <f>+SUM(H7:H12)</f>
        <v>13047.535550000001</v>
      </c>
      <c r="I13" s="455" t="s">
        <v>143</v>
      </c>
      <c r="J13" s="440"/>
      <c r="K13" s="452"/>
      <c r="L13" s="112"/>
      <c r="M13" s="113"/>
      <c r="N13" s="113"/>
      <c r="O13" s="113"/>
      <c r="P13" s="124" t="e">
        <f>SUM(P8:P11)</f>
        <v>#REF!</v>
      </c>
      <c r="Q13" s="125" t="e">
        <f>SUM(Q8:Q11)</f>
        <v>#REF!</v>
      </c>
      <c r="R13" s="125" t="e">
        <f>SUM(R8:R11)</f>
        <v>#REF!</v>
      </c>
      <c r="S13" s="126" t="e">
        <f>SUM(S8:S11)</f>
        <v>#REF!</v>
      </c>
      <c r="T13" s="119" t="e">
        <f>+S11+R11+Q11+P11</f>
        <v>#REF!</v>
      </c>
    </row>
    <row r="14" spans="1:22" s="114" customFormat="1" ht="15" customHeight="1">
      <c r="A14" s="110"/>
      <c r="B14" s="445"/>
      <c r="C14" s="290"/>
      <c r="D14" s="439"/>
      <c r="E14" s="439"/>
      <c r="F14" s="474"/>
      <c r="G14" s="439"/>
      <c r="H14" s="440"/>
      <c r="I14" s="439"/>
      <c r="J14" s="440"/>
      <c r="K14" s="453"/>
      <c r="L14" s="112"/>
      <c r="N14" s="113"/>
      <c r="O14" s="113"/>
      <c r="P14" s="119"/>
      <c r="S14" s="110"/>
      <c r="T14" s="127" t="e">
        <f>SUM(T8:T13)</f>
        <v>#REF!</v>
      </c>
    </row>
    <row r="15" spans="1:22" s="114" customFormat="1" ht="15" customHeight="1">
      <c r="A15" s="110"/>
      <c r="B15" s="291" t="s">
        <v>145</v>
      </c>
      <c r="C15" s="454"/>
      <c r="D15" s="455"/>
      <c r="E15" s="455"/>
      <c r="F15" s="477" t="s">
        <v>135</v>
      </c>
      <c r="G15" s="455"/>
      <c r="H15" s="456" t="s">
        <v>136</v>
      </c>
      <c r="I15" s="455"/>
      <c r="J15" s="440"/>
      <c r="K15" s="457"/>
      <c r="L15" s="112"/>
      <c r="O15" s="113"/>
      <c r="P15" s="119"/>
      <c r="S15" s="110"/>
      <c r="V15" s="703"/>
    </row>
    <row r="16" spans="1:22" s="114" customFormat="1" ht="15" customHeight="1">
      <c r="A16" s="110">
        <v>5</v>
      </c>
      <c r="B16" s="458">
        <v>1</v>
      </c>
      <c r="C16" s="188" t="str">
        <f>IF(A16=1,"Oficial Especializado",IF(A16=2,"Oficial",IF(A16=3,"Medio oficial",IF(A16=4,"Ayudante",IF(A16=5,"Maquinista",0)))))</f>
        <v>Maquinista</v>
      </c>
      <c r="D16" s="459"/>
      <c r="E16" s="439"/>
      <c r="F16" s="474">
        <f>+'Mano de Obra'!J47</f>
        <v>397.36</v>
      </c>
      <c r="G16" s="441" t="s">
        <v>146</v>
      </c>
      <c r="H16" s="440">
        <f>F16*B16</f>
        <v>397.36</v>
      </c>
      <c r="I16" s="441" t="s">
        <v>143</v>
      </c>
      <c r="J16" s="440"/>
      <c r="K16" s="460"/>
      <c r="L16" s="112"/>
      <c r="O16" s="113"/>
      <c r="S16" s="110"/>
    </row>
    <row r="17" spans="1:19" s="114" customFormat="1" ht="15" customHeight="1">
      <c r="A17" s="110">
        <v>2</v>
      </c>
      <c r="B17" s="458">
        <v>4</v>
      </c>
      <c r="C17" s="188" t="str">
        <f t="shared" ref="C17:C18" si="1">IF(A17=1,"Oficial Especializado",IF(A17=2,"Oficial",IF(A17=3,"Medio oficial",IF(A17=4,"Ayudante",IF(A17=5,"Maquinista",0)))))</f>
        <v>Oficial</v>
      </c>
      <c r="D17" s="459"/>
      <c r="E17" s="439"/>
      <c r="F17" s="474">
        <f>+'Mano de Obra'!G47</f>
        <v>338.59</v>
      </c>
      <c r="G17" s="441" t="s">
        <v>146</v>
      </c>
      <c r="H17" s="440">
        <f>F17*B17</f>
        <v>1354.36</v>
      </c>
      <c r="I17" s="441" t="s">
        <v>143</v>
      </c>
      <c r="J17" s="440"/>
      <c r="K17" s="460"/>
      <c r="L17" s="112"/>
      <c r="O17" s="113"/>
      <c r="P17" s="983" t="s">
        <v>147</v>
      </c>
      <c r="Q17" s="983"/>
      <c r="R17" s="983"/>
      <c r="S17" s="130" t="e">
        <f>+SUM(P13:R13)*D26/D22</f>
        <v>#REF!</v>
      </c>
    </row>
    <row r="18" spans="1:19" s="114" customFormat="1" ht="15" customHeight="1">
      <c r="A18" s="110">
        <v>4</v>
      </c>
      <c r="B18" s="458">
        <v>4</v>
      </c>
      <c r="C18" s="188" t="str">
        <f t="shared" si="1"/>
        <v>Ayudante</v>
      </c>
      <c r="D18" s="459" t="s">
        <v>4</v>
      </c>
      <c r="E18" s="439"/>
      <c r="F18" s="474">
        <f>+'Mano de Obra'!I47</f>
        <v>286.54000000000002</v>
      </c>
      <c r="G18" s="441" t="s">
        <v>146</v>
      </c>
      <c r="H18" s="461">
        <f>F18*B18</f>
        <v>1146.1600000000001</v>
      </c>
      <c r="I18" s="462" t="s">
        <v>143</v>
      </c>
      <c r="J18" s="440"/>
      <c r="K18" s="452"/>
      <c r="L18" s="112"/>
      <c r="M18" s="131"/>
      <c r="N18" s="131"/>
      <c r="O18" s="113"/>
      <c r="P18" s="983"/>
      <c r="Q18" s="983"/>
      <c r="R18" s="983"/>
      <c r="S18" s="132"/>
    </row>
    <row r="19" spans="1:19" s="114" customFormat="1" ht="15" customHeight="1">
      <c r="A19" s="110"/>
      <c r="B19" s="445"/>
      <c r="C19" s="463"/>
      <c r="D19" s="439"/>
      <c r="E19" s="439"/>
      <c r="F19" s="474"/>
      <c r="G19" s="439"/>
      <c r="H19" s="464">
        <f>SUM(H16:H18)</f>
        <v>2897.88</v>
      </c>
      <c r="I19" s="465" t="s">
        <v>143</v>
      </c>
      <c r="J19" s="440"/>
      <c r="K19" s="453"/>
      <c r="L19" s="112"/>
      <c r="M19" s="134"/>
      <c r="N19" s="131"/>
      <c r="O19" s="113"/>
      <c r="P19" s="984" t="s">
        <v>0</v>
      </c>
      <c r="Q19" s="984"/>
      <c r="R19" s="984"/>
      <c r="S19" s="135" t="e">
        <f>+S13*D26/D22</f>
        <v>#REF!</v>
      </c>
    </row>
    <row r="20" spans="1:19" s="114" customFormat="1" ht="15" customHeight="1">
      <c r="A20" s="110"/>
      <c r="B20" s="445"/>
      <c r="C20" s="463"/>
      <c r="D20" s="439"/>
      <c r="E20" s="439"/>
      <c r="F20" s="474"/>
      <c r="G20" s="439"/>
      <c r="H20" s="440"/>
      <c r="I20" s="439"/>
      <c r="J20" s="440"/>
      <c r="K20" s="453"/>
      <c r="L20" s="112"/>
      <c r="M20" s="134"/>
      <c r="N20" s="131"/>
      <c r="O20" s="113"/>
      <c r="P20" s="136"/>
      <c r="Q20" s="136"/>
      <c r="R20" s="136"/>
      <c r="S20" s="135"/>
    </row>
    <row r="21" spans="1:19" s="114" customFormat="1" ht="15" customHeight="1">
      <c r="A21" s="110"/>
      <c r="B21" s="292" t="s">
        <v>148</v>
      </c>
      <c r="C21" s="454"/>
      <c r="D21" s="215" t="s">
        <v>149</v>
      </c>
      <c r="E21" s="455"/>
      <c r="F21" s="477"/>
      <c r="G21" s="455"/>
      <c r="H21" s="466"/>
      <c r="I21" s="455"/>
      <c r="J21" s="440">
        <f>H19+H13</f>
        <v>15945.415550000002</v>
      </c>
      <c r="K21" s="452" t="s">
        <v>143</v>
      </c>
      <c r="L21" s="112"/>
      <c r="M21" s="113"/>
      <c r="N21" s="113"/>
      <c r="O21" s="113"/>
      <c r="P21" s="984" t="s">
        <v>1</v>
      </c>
      <c r="Q21" s="984"/>
      <c r="R21" s="984"/>
      <c r="S21" s="135">
        <f>+H19*D26/D22</f>
        <v>3210.85104</v>
      </c>
    </row>
    <row r="22" spans="1:19" s="114" customFormat="1" ht="15" customHeight="1">
      <c r="A22" s="110"/>
      <c r="B22" s="292" t="s">
        <v>150</v>
      </c>
      <c r="C22" s="467"/>
      <c r="D22" s="439">
        <v>1.5</v>
      </c>
      <c r="E22" s="468" t="s">
        <v>151</v>
      </c>
      <c r="F22" s="477"/>
      <c r="G22" s="455"/>
      <c r="H22" s="466"/>
      <c r="I22" s="455"/>
      <c r="J22" s="440"/>
      <c r="K22" s="457"/>
      <c r="L22" s="112"/>
      <c r="M22" s="113"/>
      <c r="N22" s="113"/>
      <c r="O22" s="138"/>
      <c r="P22" s="984" t="s">
        <v>152</v>
      </c>
      <c r="Q22" s="984"/>
      <c r="R22" s="984"/>
      <c r="S22" s="135"/>
    </row>
    <row r="23" spans="1:19" s="114" customFormat="1" ht="15">
      <c r="A23" s="110"/>
      <c r="B23" s="292" t="s">
        <v>153</v>
      </c>
      <c r="C23" s="454"/>
      <c r="D23" s="459"/>
      <c r="E23" s="469">
        <f>J21</f>
        <v>15945.415550000002</v>
      </c>
      <c r="F23" s="478" t="s">
        <v>154</v>
      </c>
      <c r="G23" s="439">
        <f>D22</f>
        <v>1.5</v>
      </c>
      <c r="H23" s="468" t="str">
        <f>E22</f>
        <v>ha/d</v>
      </c>
      <c r="I23" s="439" t="s">
        <v>155</v>
      </c>
      <c r="J23" s="440">
        <f>E23/G23</f>
        <v>10630.277033333334</v>
      </c>
      <c r="K23" s="453" t="s">
        <v>156</v>
      </c>
      <c r="L23" s="112"/>
      <c r="M23" s="113"/>
      <c r="N23" s="113"/>
      <c r="O23" s="113"/>
      <c r="S23" s="135" t="e">
        <f>+S21+S19+S17</f>
        <v>#REF!</v>
      </c>
    </row>
    <row r="24" spans="1:19" s="114" customFormat="1" ht="15">
      <c r="A24" s="110"/>
      <c r="B24" s="292" t="s">
        <v>157</v>
      </c>
      <c r="C24" s="454"/>
      <c r="D24" s="459"/>
      <c r="E24" s="469"/>
      <c r="F24" s="478"/>
      <c r="G24" s="439"/>
      <c r="H24" s="439"/>
      <c r="I24" s="439"/>
      <c r="J24" s="270">
        <f>SUM(J23:J23)</f>
        <v>10630.277033333334</v>
      </c>
      <c r="K24" s="373" t="s">
        <v>156</v>
      </c>
      <c r="P24" s="139"/>
      <c r="S24" s="110"/>
    </row>
    <row r="25" spans="1:19" s="114" customFormat="1" ht="15">
      <c r="A25" s="110"/>
      <c r="B25" s="292"/>
      <c r="C25" s="454"/>
      <c r="D25" s="459"/>
      <c r="E25" s="469"/>
      <c r="F25" s="478"/>
      <c r="G25" s="439"/>
      <c r="H25" s="439"/>
      <c r="I25" s="439"/>
      <c r="J25" s="440"/>
      <c r="K25" s="453"/>
      <c r="L25" s="112"/>
      <c r="M25" s="113"/>
      <c r="N25" s="113"/>
      <c r="O25" s="113"/>
      <c r="P25" s="139"/>
      <c r="S25" s="140"/>
    </row>
    <row r="26" spans="1:19" s="114" customFormat="1" ht="15.75" thickBot="1">
      <c r="A26" s="110"/>
      <c r="B26" s="470" t="s">
        <v>158</v>
      </c>
      <c r="C26" s="266"/>
      <c r="D26" s="811">
        <f>+'Coeficiente Resumen'!D19</f>
        <v>1.6619999999999999</v>
      </c>
      <c r="E26" s="471" t="s">
        <v>159</v>
      </c>
      <c r="F26" s="479">
        <f>J24</f>
        <v>10630.277033333334</v>
      </c>
      <c r="G26" s="471" t="str">
        <f>K23</f>
        <v>$/ha</v>
      </c>
      <c r="H26" s="480"/>
      <c r="I26" s="471" t="s">
        <v>155</v>
      </c>
      <c r="J26" s="271">
        <f>+D26*F26</f>
        <v>17667.5204294</v>
      </c>
      <c r="K26" s="374" t="str">
        <f>K23</f>
        <v>$/ha</v>
      </c>
      <c r="L26" s="141"/>
      <c r="M26" s="142"/>
      <c r="N26" s="113"/>
      <c r="O26" s="113"/>
      <c r="P26" s="143"/>
      <c r="S26" s="110"/>
    </row>
    <row r="27" spans="1:19" s="122" customFormat="1" ht="17.25" thickTop="1" thickBot="1">
      <c r="A27" s="129"/>
      <c r="B27" s="989" t="s">
        <v>160</v>
      </c>
      <c r="C27" s="989"/>
      <c r="D27" s="990">
        <f>ROUND(J26,2)</f>
        <v>17667.52</v>
      </c>
      <c r="E27" s="990"/>
      <c r="F27" s="991" t="str">
        <f>+K26</f>
        <v>$/ha</v>
      </c>
      <c r="G27" s="992"/>
      <c r="H27" s="992"/>
      <c r="I27" s="144"/>
      <c r="J27" s="145"/>
      <c r="K27" s="146"/>
      <c r="L27" s="147"/>
      <c r="M27" s="148"/>
      <c r="N27" s="128"/>
      <c r="O27" s="128"/>
      <c r="P27" s="149"/>
      <c r="S27" s="129"/>
    </row>
    <row r="28" spans="1:19" ht="15.75" thickTop="1">
      <c r="C28" s="152"/>
      <c r="D28" s="123"/>
      <c r="E28" s="123"/>
      <c r="F28" s="277"/>
      <c r="G28" s="123"/>
    </row>
    <row r="29" spans="1:19">
      <c r="C29" s="155"/>
      <c r="F29" s="279"/>
      <c r="P29" s="156"/>
    </row>
    <row r="30" spans="1:19">
      <c r="C30" s="157"/>
      <c r="D30" s="985"/>
      <c r="E30" s="985"/>
      <c r="F30" s="280"/>
    </row>
    <row r="31" spans="1:19">
      <c r="C31" s="157"/>
      <c r="D31" s="985"/>
      <c r="E31" s="985"/>
      <c r="F31" s="279"/>
      <c r="P31" s="156"/>
    </row>
    <row r="32" spans="1:19">
      <c r="C32" s="157"/>
      <c r="D32" s="985"/>
      <c r="E32" s="985"/>
    </row>
    <row r="33" spans="3:5">
      <c r="C33" s="157"/>
      <c r="D33" s="985"/>
      <c r="E33" s="985"/>
    </row>
  </sheetData>
  <mergeCells count="13">
    <mergeCell ref="D32:E32"/>
    <mergeCell ref="D33:E33"/>
    <mergeCell ref="B5:K5"/>
    <mergeCell ref="B27:C27"/>
    <mergeCell ref="D27:E27"/>
    <mergeCell ref="F27:H27"/>
    <mergeCell ref="D30:E30"/>
    <mergeCell ref="D31:E31"/>
    <mergeCell ref="B2:K2"/>
    <mergeCell ref="P17:R18"/>
    <mergeCell ref="P19:R19"/>
    <mergeCell ref="P21:R21"/>
    <mergeCell ref="P22:R22"/>
  </mergeCells>
  <hyperlinks>
    <hyperlink ref="V5" location="'Pres-gav.'!A1" display="PRESUPUESTO"/>
    <hyperlink ref="V6" location="'Costo Equipos'!A1" display="Equipos"/>
  </hyperlinks>
  <printOptions horizontalCentered="1"/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>&amp;L&amp;"Arial,Normal"&amp;10Análisis de Precios&amp;C &amp;R&amp;"Arial,Normal"&amp;10Pág. &amp;P de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28"/>
  <sheetViews>
    <sheetView showGridLines="0" view="pageBreakPreview" zoomScaleNormal="100" zoomScaleSheetLayoutView="100" workbookViewId="0">
      <selection activeCell="D16" sqref="D16"/>
    </sheetView>
  </sheetViews>
  <sheetFormatPr baseColWidth="10" defaultColWidth="11" defaultRowHeight="13.5"/>
  <cols>
    <col min="1" max="1" width="4.7109375" style="295" customWidth="1"/>
    <col min="2" max="2" width="3.5703125" style="289" customWidth="1"/>
    <col min="3" max="3" width="35.42578125" style="289" customWidth="1"/>
    <col min="4" max="4" width="6.7109375" style="295" customWidth="1"/>
    <col min="5" max="5" width="9.28515625" style="289" customWidth="1"/>
    <col min="6" max="6" width="8.5703125" style="289" customWidth="1"/>
    <col min="7" max="7" width="6.42578125" style="289" customWidth="1"/>
    <col min="8" max="8" width="8.28515625" style="289" customWidth="1"/>
    <col min="9" max="9" width="3.28515625" style="289" customWidth="1"/>
    <col min="10" max="10" width="8.85546875" style="153" customWidth="1"/>
    <col min="11" max="11" width="4.85546875" style="154" customWidth="1"/>
    <col min="12" max="12" width="11" style="295" hidden="1" customWidth="1"/>
    <col min="13" max="13" width="18.85546875" style="289" hidden="1" customWidth="1"/>
    <col min="14" max="18" width="11" style="289" hidden="1" customWidth="1"/>
    <col min="19" max="19" width="12.28515625" style="295" hidden="1" customWidth="1"/>
    <col min="20" max="20" width="0" style="289" hidden="1" customWidth="1"/>
    <col min="21" max="16384" width="11" style="289"/>
  </cols>
  <sheetData>
    <row r="1" spans="1:22" s="108" customFormat="1" ht="20.25" customHeight="1" thickTop="1" thickBot="1">
      <c r="A1" s="107"/>
      <c r="B1" s="986" t="s">
        <v>323</v>
      </c>
      <c r="C1" s="987"/>
      <c r="D1" s="987"/>
      <c r="E1" s="987"/>
      <c r="F1" s="987"/>
      <c r="G1" s="987"/>
      <c r="H1" s="987"/>
      <c r="I1" s="987"/>
      <c r="J1" s="987"/>
      <c r="K1" s="988"/>
      <c r="L1" s="107"/>
      <c r="S1" s="107"/>
      <c r="V1" s="305" t="s">
        <v>2</v>
      </c>
    </row>
    <row r="2" spans="1:22" s="114" customFormat="1" ht="15" customHeight="1" thickTop="1">
      <c r="A2" s="110"/>
      <c r="B2" s="265" t="s">
        <v>133</v>
      </c>
      <c r="C2" s="434"/>
      <c r="D2" s="435" t="s">
        <v>134</v>
      </c>
      <c r="E2" s="435"/>
      <c r="F2" s="434" t="s">
        <v>135</v>
      </c>
      <c r="G2" s="435"/>
      <c r="H2" s="434" t="s">
        <v>136</v>
      </c>
      <c r="I2" s="435"/>
      <c r="J2" s="434"/>
      <c r="K2" s="436"/>
      <c r="L2" s="112"/>
      <c r="M2" s="113"/>
      <c r="N2" s="113"/>
      <c r="O2" s="113"/>
      <c r="P2" s="110" t="s">
        <v>137</v>
      </c>
      <c r="Q2" s="110" t="s">
        <v>138</v>
      </c>
      <c r="R2" s="110" t="s">
        <v>139</v>
      </c>
      <c r="S2" s="110" t="s">
        <v>140</v>
      </c>
      <c r="V2" s="305" t="s">
        <v>141</v>
      </c>
    </row>
    <row r="3" spans="1:22" s="114" customFormat="1" ht="15" customHeight="1">
      <c r="A3" s="110">
        <v>9</v>
      </c>
      <c r="B3" s="437">
        <v>1</v>
      </c>
      <c r="C3" s="188" t="str">
        <f>VLOOKUP(A3,'Costo Equipos'!$1:$1048576,2,0)</f>
        <v>Cargador frontal Hyundai, HL740-7 (2,1m³)</v>
      </c>
      <c r="D3" s="438">
        <f>VLOOKUP(A3,'Costo Equipos'!$1:$1048576,23,0)</f>
        <v>0</v>
      </c>
      <c r="E3" s="439" t="s">
        <v>142</v>
      </c>
      <c r="F3" s="440">
        <f>VLOOKUP(A3,'Costo Equipos'!$1:$1048576,33,0)</f>
        <v>0</v>
      </c>
      <c r="G3" s="441" t="str">
        <f>+G9</f>
        <v>$/d  =</v>
      </c>
      <c r="H3" s="442">
        <f>+F3*B3</f>
        <v>0</v>
      </c>
      <c r="I3" s="441" t="s">
        <v>143</v>
      </c>
      <c r="J3" s="443"/>
      <c r="K3" s="444"/>
      <c r="L3" s="112">
        <v>13</v>
      </c>
      <c r="M3" s="113" t="e">
        <f>+LOOKUP(L3,#REF!,#REF!)</f>
        <v>#REF!</v>
      </c>
      <c r="N3" s="113" t="s">
        <v>144</v>
      </c>
      <c r="O3" s="113"/>
      <c r="P3" s="118" t="e">
        <f>+(LOOKUP(L3,#REF!,#REF!))*B3</f>
        <v>#REF!</v>
      </c>
      <c r="Q3" s="118" t="e">
        <f>+(LOOKUP(L3,#REF!,#REF!))*B3</f>
        <v>#REF!</v>
      </c>
      <c r="R3" s="118" t="e">
        <f>+(LOOKUP(L3,#REF!,#REF!))*B3</f>
        <v>#REF!</v>
      </c>
      <c r="S3" s="118" t="e">
        <f>+(LOOKUP(L3,#REF!,#REF!))*B3</f>
        <v>#REF!</v>
      </c>
      <c r="T3" s="119" t="e">
        <f>+#REF!+#REF!+#REF!+#REF!</f>
        <v>#REF!</v>
      </c>
    </row>
    <row r="4" spans="1:22" s="114" customFormat="1" ht="15" customHeight="1">
      <c r="A4" s="110">
        <v>1</v>
      </c>
      <c r="B4" s="437">
        <v>1</v>
      </c>
      <c r="C4" s="188" t="str">
        <f>VLOOKUP(A4,'Costo Equipos'!$1:$1048576,2,0)</f>
        <v>Motoniveladora Dynsai PY165H</v>
      </c>
      <c r="D4" s="438">
        <f>VLOOKUP(A4,'Costo Equipos'!$1:$1048576,23,0)</f>
        <v>0</v>
      </c>
      <c r="E4" s="439" t="s">
        <v>142</v>
      </c>
      <c r="F4" s="440">
        <f>VLOOKUP(A4,'Costo Equipos'!$1:$1048576,33,0)</f>
        <v>0</v>
      </c>
      <c r="G4" s="441" t="str">
        <f>+G10</f>
        <v>$/d  =</v>
      </c>
      <c r="H4" s="442">
        <f>+F4*B4</f>
        <v>0</v>
      </c>
      <c r="I4" s="441" t="s">
        <v>143</v>
      </c>
      <c r="J4" s="443"/>
      <c r="K4" s="444"/>
      <c r="L4" s="112"/>
      <c r="M4" s="113"/>
      <c r="N4" s="113"/>
      <c r="O4" s="113"/>
      <c r="P4" s="327"/>
      <c r="Q4" s="327"/>
      <c r="R4" s="327"/>
      <c r="S4" s="327"/>
      <c r="T4" s="119"/>
    </row>
    <row r="5" spans="1:22" s="114" customFormat="1" ht="15" customHeight="1">
      <c r="A5" s="110">
        <v>41</v>
      </c>
      <c r="B5" s="437">
        <v>2</v>
      </c>
      <c r="C5" s="188" t="str">
        <f>VLOOKUP(A5,'Costo Equipos'!$1:$1048576,2,0)</f>
        <v>Camion Volcador 15 t</v>
      </c>
      <c r="D5" s="438">
        <f>VLOOKUP(A5,'Costo Equipos'!$1:$1048576,23,0)</f>
        <v>0</v>
      </c>
      <c r="E5" s="439" t="s">
        <v>142</v>
      </c>
      <c r="F5" s="440">
        <f>VLOOKUP(A5,'Costo Equipos'!$1:$1048576,33,0)</f>
        <v>0</v>
      </c>
      <c r="G5" s="441" t="str">
        <f>+G3</f>
        <v>$/d  =</v>
      </c>
      <c r="H5" s="442">
        <f>+F5*B5</f>
        <v>0</v>
      </c>
      <c r="I5" s="441" t="s">
        <v>143</v>
      </c>
      <c r="J5" s="443"/>
      <c r="K5" s="444"/>
      <c r="L5" s="112">
        <v>7</v>
      </c>
      <c r="M5" s="113" t="e">
        <f>+LOOKUP(L5,#REF!,#REF!)</f>
        <v>#REF!</v>
      </c>
      <c r="N5" s="113"/>
      <c r="O5" s="113"/>
      <c r="P5" s="118" t="e">
        <f>+(LOOKUP(L5,#REF!,#REF!))*B5</f>
        <v>#REF!</v>
      </c>
      <c r="Q5" s="118" t="e">
        <f>+(LOOKUP(L5,#REF!,#REF!))*B5</f>
        <v>#REF!</v>
      </c>
      <c r="R5" s="118" t="e">
        <f>+(LOOKUP(L5,#REF!,#REF!))*B5</f>
        <v>#REF!</v>
      </c>
      <c r="S5" s="118" t="e">
        <f>+(LOOKUP(L5,#REF!,#REF!))*B5</f>
        <v>#REF!</v>
      </c>
      <c r="T5" s="119" t="e">
        <f>+S3+R3+Q3+P3</f>
        <v>#REF!</v>
      </c>
    </row>
    <row r="6" spans="1:22" s="114" customFormat="1" ht="15" customHeight="1">
      <c r="A6" s="110"/>
      <c r="B6" s="445"/>
      <c r="C6" s="446"/>
      <c r="D6" s="447">
        <f>SUMPRODUCT(B3:B5,D3:D5)</f>
        <v>0</v>
      </c>
      <c r="E6" s="448" t="s">
        <v>142</v>
      </c>
      <c r="F6" s="449"/>
      <c r="G6" s="443"/>
      <c r="H6" s="450">
        <f>+SUM(H3:H5)</f>
        <v>0</v>
      </c>
      <c r="I6" s="451" t="s">
        <v>143</v>
      </c>
      <c r="J6" s="440"/>
      <c r="K6" s="452"/>
      <c r="L6" s="112"/>
      <c r="M6" s="113"/>
      <c r="N6" s="113"/>
      <c r="O6" s="113"/>
      <c r="P6" s="124" t="e">
        <f>SUM(P3:P5)</f>
        <v>#REF!</v>
      </c>
      <c r="Q6" s="125" t="e">
        <f>SUM(Q3:Q5)</f>
        <v>#REF!</v>
      </c>
      <c r="R6" s="125" t="e">
        <f>SUM(R3:R5)</f>
        <v>#REF!</v>
      </c>
      <c r="S6" s="126" t="e">
        <f>SUM(S3:S5)</f>
        <v>#REF!</v>
      </c>
      <c r="T6" s="119" t="e">
        <f>+#REF!+#REF!+#REF!+#REF!</f>
        <v>#REF!</v>
      </c>
    </row>
    <row r="7" spans="1:22" s="114" customFormat="1" ht="15" customHeight="1">
      <c r="A7" s="110"/>
      <c r="B7" s="445"/>
      <c r="C7" s="290"/>
      <c r="D7" s="439"/>
      <c r="E7" s="439"/>
      <c r="F7" s="440"/>
      <c r="G7" s="439"/>
      <c r="H7" s="440"/>
      <c r="I7" s="439"/>
      <c r="J7" s="440"/>
      <c r="K7" s="453"/>
      <c r="L7" s="112"/>
      <c r="N7" s="113"/>
      <c r="O7" s="113"/>
      <c r="P7" s="119"/>
      <c r="S7" s="110"/>
      <c r="T7" s="296" t="e">
        <f>SUM(T3:T6)</f>
        <v>#REF!</v>
      </c>
    </row>
    <row r="8" spans="1:22" s="114" customFormat="1" ht="15" customHeight="1">
      <c r="A8" s="110"/>
      <c r="B8" s="291" t="s">
        <v>145</v>
      </c>
      <c r="C8" s="454"/>
      <c r="D8" s="455"/>
      <c r="E8" s="455"/>
      <c r="F8" s="456" t="s">
        <v>135</v>
      </c>
      <c r="G8" s="455"/>
      <c r="H8" s="456" t="s">
        <v>136</v>
      </c>
      <c r="I8" s="455"/>
      <c r="J8" s="440"/>
      <c r="K8" s="457"/>
      <c r="L8" s="112"/>
      <c r="O8" s="113"/>
      <c r="P8" s="119"/>
      <c r="S8" s="110"/>
    </row>
    <row r="9" spans="1:22" s="114" customFormat="1" ht="15" customHeight="1">
      <c r="A9" s="110">
        <v>1</v>
      </c>
      <c r="B9" s="458">
        <v>2</v>
      </c>
      <c r="C9" s="188" t="str">
        <f>IF(A9=1,"Oficial Especializado",IF(A9=2,"Oficial",IF(A9=3,"Medio oficial",IF(A9=4,"Ayudante",IF(A9=5,"Maquinista",0)))))</f>
        <v>Oficial Especializado</v>
      </c>
      <c r="D9" s="459"/>
      <c r="E9" s="439"/>
      <c r="F9" s="440">
        <f>+'Mano de Obra'!F47</f>
        <v>397.36</v>
      </c>
      <c r="G9" s="441" t="s">
        <v>146</v>
      </c>
      <c r="H9" s="440">
        <f>F9*B9</f>
        <v>794.72</v>
      </c>
      <c r="I9" s="441" t="s">
        <v>143</v>
      </c>
      <c r="J9" s="440"/>
      <c r="K9" s="460"/>
      <c r="L9" s="112"/>
      <c r="O9" s="113"/>
      <c r="S9" s="110"/>
    </row>
    <row r="10" spans="1:22" s="114" customFormat="1" ht="15" customHeight="1">
      <c r="A10" s="110">
        <v>2</v>
      </c>
      <c r="B10" s="458">
        <v>2</v>
      </c>
      <c r="C10" s="188" t="str">
        <f t="shared" ref="C10:C11" si="0">IF(A10=1,"Oficial Especializado",IF(A10=2,"Oficial",IF(A10=3,"Medio oficial",IF(A10=4,"Ayudante",IF(A10=5,"Maquinista",0)))))</f>
        <v>Oficial</v>
      </c>
      <c r="D10" s="459"/>
      <c r="E10" s="439"/>
      <c r="F10" s="440">
        <f>+'Mano de Obra'!G47</f>
        <v>338.59</v>
      </c>
      <c r="G10" s="441" t="s">
        <v>146</v>
      </c>
      <c r="H10" s="440">
        <f>F10*B10</f>
        <v>677.18</v>
      </c>
      <c r="I10" s="441" t="s">
        <v>143</v>
      </c>
      <c r="J10" s="440"/>
      <c r="K10" s="460"/>
      <c r="L10" s="112"/>
      <c r="O10" s="113"/>
      <c r="P10" s="983" t="s">
        <v>147</v>
      </c>
      <c r="Q10" s="983"/>
      <c r="R10" s="983"/>
      <c r="S10" s="130" t="e">
        <f>+SUM(P6:R6)*D21/D15</f>
        <v>#REF!</v>
      </c>
    </row>
    <row r="11" spans="1:22" s="114" customFormat="1" ht="15" customHeight="1">
      <c r="A11" s="110">
        <v>4</v>
      </c>
      <c r="B11" s="458">
        <v>4</v>
      </c>
      <c r="C11" s="188" t="str">
        <f t="shared" si="0"/>
        <v>Ayudante</v>
      </c>
      <c r="D11" s="459" t="s">
        <v>4</v>
      </c>
      <c r="E11" s="439"/>
      <c r="F11" s="440">
        <f>+'Mano de Obra'!I47</f>
        <v>286.54000000000002</v>
      </c>
      <c r="G11" s="441" t="s">
        <v>146</v>
      </c>
      <c r="H11" s="461">
        <f>F11*B11</f>
        <v>1146.1600000000001</v>
      </c>
      <c r="I11" s="462" t="s">
        <v>143</v>
      </c>
      <c r="J11" s="440"/>
      <c r="K11" s="452"/>
      <c r="L11" s="112"/>
      <c r="M11" s="297"/>
      <c r="N11" s="297"/>
      <c r="O11" s="113"/>
      <c r="P11" s="983"/>
      <c r="Q11" s="983"/>
      <c r="R11" s="983"/>
      <c r="S11" s="132"/>
    </row>
    <row r="12" spans="1:22" s="114" customFormat="1" ht="15" customHeight="1">
      <c r="A12" s="110"/>
      <c r="B12" s="445"/>
      <c r="C12" s="463"/>
      <c r="D12" s="439"/>
      <c r="E12" s="439"/>
      <c r="F12" s="440"/>
      <c r="G12" s="439"/>
      <c r="H12" s="464">
        <f>SUM(H9:H11)</f>
        <v>2618.0600000000004</v>
      </c>
      <c r="I12" s="465" t="s">
        <v>143</v>
      </c>
      <c r="J12" s="440"/>
      <c r="K12" s="453"/>
      <c r="L12" s="112"/>
      <c r="M12" s="298"/>
      <c r="N12" s="297"/>
      <c r="O12" s="113"/>
      <c r="P12" s="984" t="s">
        <v>0</v>
      </c>
      <c r="Q12" s="984"/>
      <c r="R12" s="984"/>
      <c r="S12" s="135" t="e">
        <f>+S6*D21/D15</f>
        <v>#REF!</v>
      </c>
    </row>
    <row r="13" spans="1:22" s="114" customFormat="1" ht="15" customHeight="1">
      <c r="A13" s="110"/>
      <c r="B13" s="445"/>
      <c r="C13" s="463"/>
      <c r="D13" s="439"/>
      <c r="E13" s="439"/>
      <c r="F13" s="440"/>
      <c r="G13" s="439"/>
      <c r="H13" s="440"/>
      <c r="I13" s="439"/>
      <c r="J13" s="440"/>
      <c r="K13" s="453"/>
      <c r="L13" s="112"/>
      <c r="M13" s="298"/>
      <c r="N13" s="297"/>
      <c r="O13" s="113"/>
      <c r="P13" s="326"/>
      <c r="Q13" s="326"/>
      <c r="R13" s="326"/>
      <c r="S13" s="135"/>
    </row>
    <row r="14" spans="1:22" s="114" customFormat="1" ht="15" customHeight="1">
      <c r="A14" s="110"/>
      <c r="B14" s="292" t="s">
        <v>148</v>
      </c>
      <c r="C14" s="454"/>
      <c r="D14" s="215" t="s">
        <v>149</v>
      </c>
      <c r="E14" s="455"/>
      <c r="F14" s="466"/>
      <c r="G14" s="455"/>
      <c r="H14" s="466"/>
      <c r="I14" s="455"/>
      <c r="J14" s="440">
        <f>H12+H6</f>
        <v>2618.0600000000004</v>
      </c>
      <c r="K14" s="452" t="s">
        <v>143</v>
      </c>
      <c r="L14" s="112"/>
      <c r="M14" s="113"/>
      <c r="N14" s="113"/>
      <c r="O14" s="113"/>
      <c r="P14" s="984" t="s">
        <v>1</v>
      </c>
      <c r="Q14" s="984"/>
      <c r="R14" s="984"/>
      <c r="S14" s="135" t="e">
        <f>+H12*D21/D15</f>
        <v>#REF!</v>
      </c>
    </row>
    <row r="15" spans="1:22" s="114" customFormat="1" ht="15" customHeight="1">
      <c r="A15" s="110"/>
      <c r="B15" s="292" t="s">
        <v>150</v>
      </c>
      <c r="C15" s="467"/>
      <c r="D15" s="439">
        <v>400</v>
      </c>
      <c r="E15" s="468" t="s">
        <v>163</v>
      </c>
      <c r="F15" s="466"/>
      <c r="G15" s="455"/>
      <c r="H15" s="466"/>
      <c r="I15" s="455"/>
      <c r="J15" s="440"/>
      <c r="K15" s="457"/>
      <c r="L15" s="112"/>
      <c r="M15" s="113"/>
      <c r="N15" s="113"/>
      <c r="O15" s="138"/>
      <c r="P15" s="984" t="s">
        <v>152</v>
      </c>
      <c r="Q15" s="984"/>
      <c r="R15" s="984"/>
      <c r="S15" s="135"/>
    </row>
    <row r="16" spans="1:22" s="114" customFormat="1" ht="15">
      <c r="A16" s="110"/>
      <c r="B16" s="292" t="s">
        <v>173</v>
      </c>
      <c r="C16" s="454"/>
      <c r="D16" s="459"/>
      <c r="E16" s="469">
        <f>J14</f>
        <v>2618.0600000000004</v>
      </c>
      <c r="F16" s="439" t="s">
        <v>154</v>
      </c>
      <c r="G16" s="439">
        <f>D15</f>
        <v>400</v>
      </c>
      <c r="H16" s="468" t="str">
        <f>E15</f>
        <v>m³/d</v>
      </c>
      <c r="I16" s="439" t="s">
        <v>155</v>
      </c>
      <c r="J16" s="440">
        <f>E16/G16</f>
        <v>6.5451500000000014</v>
      </c>
      <c r="K16" s="453" t="s">
        <v>91</v>
      </c>
      <c r="L16" s="112"/>
      <c r="M16" s="113"/>
      <c r="N16" s="113"/>
      <c r="O16" s="113"/>
      <c r="S16" s="135" t="e">
        <f>+S14+S12+S10</f>
        <v>#REF!</v>
      </c>
    </row>
    <row r="17" spans="1:19" s="114" customFormat="1" ht="15">
      <c r="A17" s="110"/>
      <c r="B17" s="292"/>
      <c r="C17" s="454"/>
      <c r="D17" s="459"/>
      <c r="E17" s="469"/>
      <c r="F17" s="439"/>
      <c r="G17" s="439"/>
      <c r="H17" s="468"/>
      <c r="I17" s="439"/>
      <c r="J17" s="440"/>
      <c r="K17" s="453"/>
      <c r="L17" s="112"/>
      <c r="M17" s="113"/>
      <c r="N17" s="113"/>
      <c r="O17" s="113"/>
      <c r="S17" s="161"/>
    </row>
    <row r="18" spans="1:19" s="114" customFormat="1" ht="15">
      <c r="A18" s="110"/>
      <c r="B18" s="292"/>
      <c r="C18" s="454"/>
      <c r="D18" s="459"/>
      <c r="E18" s="469"/>
      <c r="F18" s="439"/>
      <c r="G18" s="439"/>
      <c r="H18" s="468"/>
      <c r="I18" s="439"/>
      <c r="J18" s="440"/>
      <c r="K18" s="453"/>
      <c r="L18" s="112"/>
      <c r="M18" s="113"/>
      <c r="N18" s="113"/>
      <c r="O18" s="113"/>
      <c r="S18" s="161"/>
    </row>
    <row r="19" spans="1:19" s="114" customFormat="1" ht="15">
      <c r="A19" s="110"/>
      <c r="B19" s="292" t="s">
        <v>157</v>
      </c>
      <c r="C19" s="454"/>
      <c r="D19" s="459"/>
      <c r="E19" s="469"/>
      <c r="F19" s="439"/>
      <c r="G19" s="439"/>
      <c r="H19" s="439"/>
      <c r="I19" s="439"/>
      <c r="J19" s="270">
        <f>+J16</f>
        <v>6.5451500000000014</v>
      </c>
      <c r="K19" s="373" t="s">
        <v>91</v>
      </c>
      <c r="P19" s="139"/>
      <c r="S19" s="110"/>
    </row>
    <row r="20" spans="1:19" s="114" customFormat="1" ht="15">
      <c r="A20" s="110"/>
      <c r="B20" s="292"/>
      <c r="C20" s="454"/>
      <c r="D20" s="459"/>
      <c r="E20" s="469"/>
      <c r="F20" s="439"/>
      <c r="G20" s="439"/>
      <c r="H20" s="439"/>
      <c r="I20" s="439"/>
      <c r="J20" s="440"/>
      <c r="K20" s="453"/>
      <c r="L20" s="112"/>
      <c r="M20" s="113"/>
      <c r="N20" s="113"/>
      <c r="O20" s="113"/>
      <c r="P20" s="139"/>
      <c r="S20" s="140"/>
    </row>
    <row r="21" spans="1:19" s="114" customFormat="1" ht="18" customHeight="1" thickBot="1">
      <c r="A21" s="110"/>
      <c r="B21" s="159" t="s">
        <v>158</v>
      </c>
      <c r="C21" s="266"/>
      <c r="D21" s="471" t="e">
        <f>+#REF!</f>
        <v>#REF!</v>
      </c>
      <c r="E21" s="471" t="s">
        <v>159</v>
      </c>
      <c r="F21" s="471">
        <f>J19</f>
        <v>6.5451500000000014</v>
      </c>
      <c r="G21" s="471" t="str">
        <f>K16</f>
        <v>$/m³</v>
      </c>
      <c r="H21" s="449"/>
      <c r="I21" s="471" t="s">
        <v>155</v>
      </c>
      <c r="J21" s="271" t="e">
        <f>+D21*F21</f>
        <v>#REF!</v>
      </c>
      <c r="K21" s="374" t="str">
        <f>K16</f>
        <v>$/m³</v>
      </c>
      <c r="L21" s="299"/>
      <c r="M21" s="293"/>
      <c r="N21" s="113"/>
      <c r="O21" s="113"/>
      <c r="P21" s="303"/>
      <c r="S21" s="110"/>
    </row>
    <row r="22" spans="1:19" s="122" customFormat="1" ht="17.25" thickTop="1" thickBot="1">
      <c r="A22" s="129"/>
      <c r="B22" s="989" t="s">
        <v>160</v>
      </c>
      <c r="C22" s="989"/>
      <c r="D22" s="990" t="e">
        <f>ROUND(J21,2)</f>
        <v>#REF!</v>
      </c>
      <c r="E22" s="990"/>
      <c r="F22" s="992" t="str">
        <f>+K21</f>
        <v>$/m³</v>
      </c>
      <c r="G22" s="992"/>
      <c r="H22" s="992"/>
      <c r="I22" s="267"/>
      <c r="J22" s="268"/>
      <c r="K22" s="269"/>
      <c r="L22" s="300"/>
      <c r="M22" s="301"/>
      <c r="N22" s="128"/>
      <c r="O22" s="128"/>
      <c r="P22" s="149"/>
      <c r="S22" s="129"/>
    </row>
    <row r="23" spans="1:19" ht="15.75" thickTop="1">
      <c r="C23" s="152"/>
      <c r="D23" s="123"/>
      <c r="E23" s="123"/>
      <c r="F23" s="121"/>
      <c r="G23" s="123"/>
    </row>
    <row r="24" spans="1:19">
      <c r="C24" s="155"/>
      <c r="P24" s="302"/>
    </row>
    <row r="25" spans="1:19">
      <c r="C25" s="294"/>
      <c r="D25" s="985"/>
      <c r="E25" s="985"/>
      <c r="F25" s="158"/>
    </row>
    <row r="26" spans="1:19">
      <c r="C26" s="294"/>
      <c r="D26" s="985"/>
      <c r="E26" s="985"/>
      <c r="P26" s="302"/>
    </row>
    <row r="27" spans="1:19">
      <c r="C27" s="294"/>
      <c r="D27" s="985"/>
      <c r="E27" s="985"/>
    </row>
    <row r="28" spans="1:19">
      <c r="C28" s="294"/>
      <c r="D28" s="985"/>
      <c r="E28" s="985"/>
    </row>
  </sheetData>
  <mergeCells count="12">
    <mergeCell ref="D25:E25"/>
    <mergeCell ref="D26:E26"/>
    <mergeCell ref="D27:E27"/>
    <mergeCell ref="D28:E28"/>
    <mergeCell ref="B1:K1"/>
    <mergeCell ref="P10:R11"/>
    <mergeCell ref="P12:R12"/>
    <mergeCell ref="P14:R14"/>
    <mergeCell ref="P15:R15"/>
    <mergeCell ref="B22:C22"/>
    <mergeCell ref="D22:E22"/>
    <mergeCell ref="F22:H22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400" verticalDpi="4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28</vt:i4>
      </vt:variant>
    </vt:vector>
  </HeadingPairs>
  <TitlesOfParts>
    <vt:vector size="55" baseType="lpstr">
      <vt:lpstr>Listado de Items Arg</vt:lpstr>
      <vt:lpstr>Listado de Items Parag</vt:lpstr>
      <vt:lpstr>Coeficiente Resumen</vt:lpstr>
      <vt:lpstr>Mano de Obra</vt:lpstr>
      <vt:lpstr>Precios Básicos Materiales</vt:lpstr>
      <vt:lpstr>Costo Equipos</vt:lpstr>
      <vt:lpstr>Análisis Equipos</vt:lpstr>
      <vt:lpstr>1.1</vt:lpstr>
      <vt:lpstr>Exc</vt:lpstr>
      <vt:lpstr>1.2</vt:lpstr>
      <vt:lpstr>Geobolsas</vt:lpstr>
      <vt:lpstr>Geoceldas</vt:lpstr>
      <vt:lpstr>Geotextil</vt:lpstr>
      <vt:lpstr>Geotubos 1,5m2</vt:lpstr>
      <vt:lpstr>Geotubos 3m2</vt:lpstr>
      <vt:lpstr>3.1</vt:lpstr>
      <vt:lpstr>3.2</vt:lpstr>
      <vt:lpstr>AUX  AC Materiales</vt:lpstr>
      <vt:lpstr>AUX Suelo</vt:lpstr>
      <vt:lpstr>AUX Ejecución Hormigón</vt:lpstr>
      <vt:lpstr>Excavacion fundaciones</vt:lpstr>
      <vt:lpstr>AUX Dosaje Hormigón</vt:lpstr>
      <vt:lpstr>2.5</vt:lpstr>
      <vt:lpstr>2.6</vt:lpstr>
      <vt:lpstr>Cubierta flexible</vt:lpstr>
      <vt:lpstr>Colchonetas</vt:lpstr>
      <vt:lpstr>Hoja3</vt:lpstr>
      <vt:lpstr>'1.1'!Área_de_impresión</vt:lpstr>
      <vt:lpstr>'1.2'!Área_de_impresión</vt:lpstr>
      <vt:lpstr>'2.5'!Área_de_impresión</vt:lpstr>
      <vt:lpstr>'2.6'!Área_de_impresión</vt:lpstr>
      <vt:lpstr>'3.1'!Área_de_impresión</vt:lpstr>
      <vt:lpstr>'3.2'!Área_de_impresión</vt:lpstr>
      <vt:lpstr>'Análisis Equipos'!Área_de_impresión</vt:lpstr>
      <vt:lpstr>'AUX  AC Materiales'!Área_de_impresión</vt:lpstr>
      <vt:lpstr>'AUX Ejecución Hormigón'!Área_de_impresión</vt:lpstr>
      <vt:lpstr>'AUX Suelo'!Área_de_impresión</vt:lpstr>
      <vt:lpstr>'Coeficiente Resumen'!Área_de_impresión</vt:lpstr>
      <vt:lpstr>Colchonetas!Área_de_impresión</vt:lpstr>
      <vt:lpstr>'Costo Equipos'!Área_de_impresión</vt:lpstr>
      <vt:lpstr>'Cubierta flexible'!Área_de_impresión</vt:lpstr>
      <vt:lpstr>Exc!Área_de_impresión</vt:lpstr>
      <vt:lpstr>'Excavacion fundaciones'!Área_de_impresión</vt:lpstr>
      <vt:lpstr>Geobolsas!Área_de_impresión</vt:lpstr>
      <vt:lpstr>Geoceldas!Área_de_impresión</vt:lpstr>
      <vt:lpstr>Geotextil!Área_de_impresión</vt:lpstr>
      <vt:lpstr>'Geotubos 1,5m2'!Área_de_impresión</vt:lpstr>
      <vt:lpstr>'Geotubos 3m2'!Área_de_impresión</vt:lpstr>
      <vt:lpstr>'Listado de Items Arg'!Área_de_impresión</vt:lpstr>
      <vt:lpstr>'Listado de Items Parag'!Área_de_impresión</vt:lpstr>
      <vt:lpstr>'Mano de Obra'!Área_de_impresión</vt:lpstr>
      <vt:lpstr>'Precios Básicos Materiales'!Área_de_impresión</vt:lpstr>
      <vt:lpstr>'AUX  AC Materiales'!Títulos_a_imprimir</vt:lpstr>
      <vt:lpstr>'Costo Equipos'!Títulos_a_imprimir</vt:lpstr>
      <vt:lpstr>'Excavacion fundaciones'!Títulos_a_imprimir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García</dc:creator>
  <cp:lastModifiedBy>dibujante</cp:lastModifiedBy>
  <cp:lastPrinted>2012-07-13T18:14:50Z</cp:lastPrinted>
  <dcterms:created xsi:type="dcterms:W3CDTF">2010-07-14T11:53:03Z</dcterms:created>
  <dcterms:modified xsi:type="dcterms:W3CDTF">2012-07-13T18:15:35Z</dcterms:modified>
</cp:coreProperties>
</file>